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definedNames>
    <definedName name="_xlnm.Print_Area" localSheetId="0">'2019-2021'!$A$1:$I$468</definedName>
  </definedNames>
  <calcPr fullCalcOnLoad="1"/>
</workbook>
</file>

<file path=xl/sharedStrings.xml><?xml version="1.0" encoding="utf-8"?>
<sst xmlns="http://schemas.openxmlformats.org/spreadsheetml/2006/main" count="2036" uniqueCount="366">
  <si>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</si>
  <si>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</si>
  <si>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</si>
  <si>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</si>
  <si>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</si>
  <si>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</si>
  <si>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</si>
  <si>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</si>
  <si>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</si>
  <si>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</si>
  <si>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</si>
  <si>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</si>
  <si>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</si>
  <si>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</si>
  <si>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</si>
  <si>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</si>
  <si>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</si>
  <si>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</si>
  <si>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</si>
  <si>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</si>
  <si>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</si>
  <si>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</si>
  <si>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</si>
  <si>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</si>
  <si>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</si>
  <si>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</si>
  <si>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</si>
  <si>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</si>
  <si>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</si>
  <si>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</si>
  <si>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</si>
  <si>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</si>
  <si>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</si>
  <si>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</si>
  <si>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</si>
  <si>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</si>
  <si>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</si>
  <si>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</si>
  <si>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</si>
  <si>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</si>
  <si>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</si>
  <si>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</si>
  <si>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</si>
  <si>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</si>
  <si>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</si>
  <si>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</si>
  <si>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</si>
  <si>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</si>
  <si>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</si>
  <si>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</si>
  <si>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</si>
  <si>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</si>
  <si>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</si>
  <si>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</si>
  <si>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</si>
  <si>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</si>
  <si>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</si>
  <si>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</si>
  <si>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</si>
  <si>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</si>
  <si>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</si>
  <si>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</si>
  <si>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</si>
  <si>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</si>
  <si>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</si>
  <si>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</si>
  <si>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</si>
  <si>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</si>
  <si>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</si>
  <si>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</si>
  <si>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</si>
  <si>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</si>
  <si>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</si>
  <si>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</si>
  <si>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</si>
  <si>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</si>
  <si>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</si>
  <si>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</si>
  <si>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</si>
  <si>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</si>
  <si>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</si>
  <si>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</si>
  <si>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</si>
  <si>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</si>
  <si>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</si>
  <si>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</si>
  <si>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</si>
  <si>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</si>
  <si>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</si>
  <si>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</si>
  <si>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</si>
  <si>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</si>
  <si>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</si>
  <si>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</si>
  <si>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</si>
  <si>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</si>
  <si>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</si>
  <si>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</si>
  <si>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</si>
  <si>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</si>
  <si>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</si>
  <si>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</si>
  <si>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</si>
  <si>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</si>
  <si>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</si>
  <si>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</si>
  <si>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</si>
  <si>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</si>
  <si>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</si>
  <si>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</si>
  <si>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</si>
  <si>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</si>
  <si>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</si>
  <si>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</si>
  <si>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</si>
  <si>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</si>
  <si>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</si>
  <si>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</si>
  <si>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</si>
  <si>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</si>
  <si>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</si>
  <si>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</si>
  <si>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</si>
  <si>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</si>
  <si>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</si>
  <si>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</si>
  <si>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</si>
  <si>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</si>
  <si>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</si>
  <si>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</si>
  <si>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</si>
  <si>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</si>
  <si>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</si>
  <si>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</si>
  <si>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</si>
  <si>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</si>
  <si>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</si>
  <si>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</si>
  <si>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</si>
  <si>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</si>
  <si>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1100000000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</si>
  <si>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</si>
  <si>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</si>
  <si>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</si>
  <si>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</si>
  <si>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</si>
  <si>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</si>
  <si>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</si>
  <si>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</si>
  <si>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</si>
  <si>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</si>
  <si>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</si>
  <si>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</si>
  <si>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</si>
  <si>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</si>
  <si>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</si>
  <si>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</si>
  <si>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</si>
  <si>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</si>
  <si>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</si>
  <si>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</si>
  <si>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</si>
  <si>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</si>
  <si>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</si>
  <si>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</si>
  <si>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</si>
  <si>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</si>
  <si>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</si>
  <si>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</si>
  <si>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</si>
  <si>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</si>
  <si>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</si>
  <si>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</si>
  <si>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</si>
  <si>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</si>
  <si>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</si>
  <si>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</si>
  <si>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</si>
  <si>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</si>
  <si>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</si>
  <si>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</si>
  <si>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</si>
  <si>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</si>
  <si>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</si>
  <si>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</si>
  <si>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</si>
  <si>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</si>
  <si>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</si>
  <si>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>5700000590</t>
  </si>
  <si>
    <t>Субвенции на проведение всероссийской сельскохозяйственной переписи в 2016 году</t>
  </si>
  <si>
    <t>9900051200</t>
  </si>
  <si>
    <t>9900053910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</si>
  <si>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</si>
  <si>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</si>
  <si>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</si>
  <si>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</si>
  <si>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</si>
  <si>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</si>
  <si>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</si>
  <si>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</si>
  <si>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</si>
  <si>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</si>
  <si>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</si>
  <si>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</si>
  <si>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</si>
  <si>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</si>
  <si>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</si>
  <si>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</si>
  <si>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2019 год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</si>
  <si>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</si>
  <si>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</si>
  <si>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</si>
  <si>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</si>
  <si>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6000071170</t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</si>
  <si>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</si>
  <si>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</si>
  <si>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</si>
  <si>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</si>
  <si>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</si>
  <si>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</si>
  <si>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</si>
  <si>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</si>
  <si>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</si>
  <si>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0800000000</t>
  </si>
  <si>
    <t>0810000000</t>
  </si>
  <si>
    <t>0810100000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</si>
  <si>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</si>
  <si>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</si>
  <si>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</si>
  <si>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</si>
  <si>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</si>
  <si>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</si>
  <si>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</si>
  <si>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</si>
  <si>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</si>
  <si>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</si>
  <si>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</si>
  <si>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</si>
  <si>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</si>
  <si>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</si>
  <si>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</si>
  <si>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</si>
  <si>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</si>
  <si>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</si>
  <si>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</si>
  <si>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</si>
  <si>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</si>
  <si>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</si>
  <si>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</si>
  <si>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</si>
  <si>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</si>
  <si>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</si>
  <si>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</si>
  <si>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</si>
  <si>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</si>
  <si>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</si>
  <si>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</si>
  <si>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</si>
  <si>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</si>
  <si>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</si>
  <si>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</si>
  <si>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</si>
  <si>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</si>
  <si>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</si>
  <si>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</si>
  <si>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</si>
  <si>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</si>
  <si>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</si>
  <si>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</si>
  <si>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</si>
  <si>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</si>
  <si>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</si>
  <si>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</si>
  <si>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</si>
  <si>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</si>
  <si>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</si>
  <si>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</si>
  <si>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</si>
  <si>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</si>
  <si>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</si>
  <si>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</si>
  <si>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</si>
  <si>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</si>
  <si>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</si>
  <si>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</si>
  <si>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</si>
  <si>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</si>
  <si>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</si>
  <si>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</si>
  <si>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</si>
  <si>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</si>
  <si>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</si>
  <si>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</si>
  <si>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</si>
  <si>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</si>
  <si>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</si>
  <si>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</si>
  <si>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</si>
  <si>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</si>
  <si>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</si>
  <si>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</si>
  <si>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</si>
  <si>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</si>
  <si>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</si>
  <si>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</si>
  <si>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</si>
  <si>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</si>
  <si>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</si>
  <si>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</si>
  <si>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</si>
  <si>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</si>
  <si>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</si>
  <si>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</si>
  <si>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</si>
  <si>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</si>
  <si>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</si>
  <si>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</si>
  <si>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</si>
  <si>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</si>
  <si>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</si>
  <si>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</si>
  <si>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</si>
  <si>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</si>
  <si>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</si>
  <si>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</si>
  <si>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</si>
  <si>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</si>
  <si>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</si>
  <si>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</si>
  <si>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</si>
  <si>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</si>
  <si>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</si>
  <si>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Распределение расходов по разделам, подразделам, целевым статьям и видам расходов бюджетной классификации РФ районного бюджета на 2019 год и на плановый период 2020 и 2021 годов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</si>
  <si>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</si>
  <si>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</si>
  <si>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</si>
  <si>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</si>
  <si>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>"Приложение 9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</si>
  <si>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</si>
  <si>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</si>
  <si>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99000S1740</t>
  </si>
  <si>
    <t>Компенсация части расходов на приобретение и установку комплекта оборудования приема телевизионного спутникового вещания</t>
  </si>
  <si>
    <t>9900010260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</si>
  <si>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</si>
  <si>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</si>
  <si>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0810120050</t>
  </si>
  <si>
    <t>Расходы на развитие и укрепление материально-технической базы муниципальных учреждений культуры</t>
  </si>
  <si>
    <t xml:space="preserve">Пособия, компенсации и иные социальные выплаты гражданам, кроме публичных нормативных обязательств 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</si>
  <si>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</si>
  <si>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</si>
  <si>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60000S0980</t>
  </si>
  <si>
    <t>Благоустройство</t>
  </si>
  <si>
    <t>622</t>
  </si>
  <si>
    <t>Субсидии автономным учреждениям на иные цели</t>
  </si>
  <si>
    <t>Иные межбюджетные трансферты поселениям Даниловского муниципального района Волгоградской области  для решения вопросов местного значения в связи с реализацией местных инициатив населения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</si>
  <si>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</si>
  <si>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</si>
  <si>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9900071160</t>
  </si>
  <si>
    <t>1.7. Приложение 9 изложить в следующей редакции:</t>
  </si>
  <si>
    <t xml:space="preserve">Межбюджетные трансферты,  передаваемые бюджетам сельских 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</si>
  <si>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</si>
  <si>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08101L5190</t>
  </si>
  <si>
    <t>Расходы на комплектование книжных фондов муниципальных общедоступных библиотек</t>
  </si>
  <si>
    <t>61000S1700</t>
  </si>
  <si>
    <t>Расходы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</si>
  <si>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 xml:space="preserve">от 28.10.2019 г. №2/2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</si>
</sst>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justify"/>
    </xf>
    <xf numFmtId="0" fontId="3" fillId="0" borderId="14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showZero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6384" width="9.125" style="47" customWidth="1"/>
  </cols>
  <sheetData>
    <row r="1" spans="1:9" ht="15.75">
      <c r="A1" s="96" t="s">
        <v>358</v>
      </c>
      <c r="B1" s="96"/>
      <c r="C1" s="97"/>
      <c r="D1" s="97"/>
      <c r="E1" s="97"/>
      <c r="F1" s="97"/>
      <c r="G1" s="97"/>
      <c r="H1" s="97"/>
      <c r="I1" s="97"/>
    </row>
    <row r="2" spans="1:7" s="3" customFormat="1" ht="15.75">
      <c r="A2" s="35"/>
      <c r="B2" s="1"/>
      <c r="C2" s="1"/>
      <c r="D2" s="1"/>
      <c r="E2" s="98" t="s">
        <v>337</v>
      </c>
      <c r="F2" s="98"/>
      <c r="G2" s="98"/>
    </row>
    <row r="3" spans="1:7" s="3" customFormat="1" ht="29.25" customHeight="1">
      <c r="A3" s="99" t="s">
        <v>56</v>
      </c>
      <c r="B3" s="100"/>
      <c r="C3" s="100"/>
      <c r="D3" s="100"/>
      <c r="E3" s="100"/>
      <c r="F3" s="100"/>
      <c r="G3" s="100"/>
    </row>
    <row r="4" spans="1:7" s="3" customFormat="1" ht="15.75">
      <c r="A4" s="35"/>
      <c r="B4" s="100" t="s">
        <v>365</v>
      </c>
      <c r="C4" s="100"/>
      <c r="D4" s="100"/>
      <c r="E4" s="100"/>
      <c r="F4" s="100"/>
      <c r="G4" s="100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02" t="s">
        <v>332</v>
      </c>
      <c r="B6" s="102"/>
      <c r="C6" s="102"/>
      <c r="D6" s="102"/>
      <c r="E6" s="102"/>
      <c r="F6" s="102"/>
      <c r="G6" s="102"/>
      <c r="H6" s="102"/>
      <c r="I6" s="102"/>
    </row>
    <row r="7" spans="1:7" s="3" customFormat="1" ht="15.75">
      <c r="A7" s="98"/>
      <c r="B7" s="98"/>
      <c r="C7" s="98"/>
      <c r="D7" s="98"/>
      <c r="E7" s="98"/>
      <c r="F7" s="98"/>
      <c r="G7" s="4"/>
    </row>
    <row r="8" spans="1:9" s="3" customFormat="1" ht="15.75">
      <c r="A8" s="35"/>
      <c r="I8" s="1" t="s">
        <v>41</v>
      </c>
    </row>
    <row r="9" spans="1:9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208</v>
      </c>
      <c r="H9" s="7" t="s">
        <v>227</v>
      </c>
      <c r="I9" s="7" t="s">
        <v>333</v>
      </c>
    </row>
    <row r="10" spans="1:9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</row>
    <row r="11" spans="1:9" s="3" customFormat="1" ht="15.75">
      <c r="A11" s="33"/>
      <c r="B11" s="8"/>
      <c r="C11" s="8"/>
      <c r="D11" s="8"/>
      <c r="E11" s="8"/>
      <c r="F11" s="8"/>
      <c r="G11" s="8"/>
      <c r="H11" s="8"/>
      <c r="I11" s="8"/>
    </row>
    <row r="12" spans="1:9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#REF!+F18+F28+#REF!+F84+F88</f>
        <v>#REF!</v>
      </c>
      <c r="G12" s="12">
        <f>G18+G28+G84+G88+G60+G64+G13</f>
        <v>58189.68499999999</v>
      </c>
      <c r="H12" s="12">
        <f>H18+H28+H84+H88+H60+H64+H13</f>
        <v>57595.399999999994</v>
      </c>
      <c r="I12" s="12">
        <f>I18+I28+I84+I88+I60+I64+I13</f>
        <v>56951.1</v>
      </c>
    </row>
    <row r="13" spans="1:9" s="55" customFormat="1" ht="47.25">
      <c r="A13" s="90" t="s">
        <v>242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1190.2</v>
      </c>
      <c r="H13" s="29">
        <f t="shared" si="0"/>
        <v>1242.2</v>
      </c>
      <c r="I13" s="29">
        <f t="shared" si="0"/>
        <v>1242.2</v>
      </c>
    </row>
    <row r="14" spans="1:9" s="3" customFormat="1" ht="31.5">
      <c r="A14" s="45" t="s">
        <v>64</v>
      </c>
      <c r="B14" s="24" t="s">
        <v>6</v>
      </c>
      <c r="C14" s="24" t="s">
        <v>7</v>
      </c>
      <c r="D14" s="19" t="s">
        <v>109</v>
      </c>
      <c r="E14" s="10"/>
      <c r="F14" s="11"/>
      <c r="G14" s="26">
        <f t="shared" si="0"/>
        <v>1190.2</v>
      </c>
      <c r="H14" s="26">
        <f t="shared" si="0"/>
        <v>1242.2</v>
      </c>
      <c r="I14" s="26">
        <f t="shared" si="0"/>
        <v>1242.2</v>
      </c>
    </row>
    <row r="15" spans="1:9" s="3" customFormat="1" ht="15.75">
      <c r="A15" s="89" t="s">
        <v>244</v>
      </c>
      <c r="B15" s="24" t="s">
        <v>6</v>
      </c>
      <c r="C15" s="24" t="s">
        <v>7</v>
      </c>
      <c r="D15" s="19" t="s">
        <v>243</v>
      </c>
      <c r="E15" s="10"/>
      <c r="F15" s="11"/>
      <c r="G15" s="26">
        <f>G16+G17</f>
        <v>1190.2</v>
      </c>
      <c r="H15" s="26">
        <f>H16+H17</f>
        <v>1242.2</v>
      </c>
      <c r="I15" s="26">
        <f>I16+I17</f>
        <v>1242.2</v>
      </c>
    </row>
    <row r="16" spans="1:9" s="3" customFormat="1" ht="31.5">
      <c r="A16" s="40" t="s">
        <v>142</v>
      </c>
      <c r="B16" s="24" t="s">
        <v>6</v>
      </c>
      <c r="C16" s="24" t="s">
        <v>7</v>
      </c>
      <c r="D16" s="19" t="s">
        <v>243</v>
      </c>
      <c r="E16" s="10" t="s">
        <v>66</v>
      </c>
      <c r="F16" s="11"/>
      <c r="G16" s="26">
        <v>914.1</v>
      </c>
      <c r="H16" s="26">
        <v>954.1</v>
      </c>
      <c r="I16" s="26">
        <v>954.1</v>
      </c>
    </row>
    <row r="17" spans="1:9" s="3" customFormat="1" ht="63" customHeight="1">
      <c r="A17" s="40" t="s">
        <v>144</v>
      </c>
      <c r="B17" s="24" t="s">
        <v>6</v>
      </c>
      <c r="C17" s="24" t="s">
        <v>7</v>
      </c>
      <c r="D17" s="19" t="s">
        <v>243</v>
      </c>
      <c r="E17" s="10" t="s">
        <v>143</v>
      </c>
      <c r="F17" s="11"/>
      <c r="G17" s="26">
        <v>276.1</v>
      </c>
      <c r="H17" s="26">
        <v>288.1</v>
      </c>
      <c r="I17" s="26">
        <v>288.1</v>
      </c>
    </row>
    <row r="18" spans="1:9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409.5</v>
      </c>
      <c r="H18" s="18">
        <f t="shared" si="1"/>
        <v>421.4</v>
      </c>
      <c r="I18" s="18">
        <f t="shared" si="1"/>
        <v>426.4</v>
      </c>
    </row>
    <row r="19" spans="1:9" s="3" customFormat="1" ht="31.5">
      <c r="A19" s="45" t="s">
        <v>64</v>
      </c>
      <c r="B19" s="19" t="s">
        <v>6</v>
      </c>
      <c r="C19" s="19" t="s">
        <v>9</v>
      </c>
      <c r="D19" s="19" t="s">
        <v>109</v>
      </c>
      <c r="E19" s="19"/>
      <c r="F19" s="17"/>
      <c r="G19" s="68">
        <f t="shared" si="1"/>
        <v>409.5</v>
      </c>
      <c r="H19" s="68">
        <f t="shared" si="1"/>
        <v>421.4</v>
      </c>
      <c r="I19" s="68">
        <f t="shared" si="1"/>
        <v>426.4</v>
      </c>
    </row>
    <row r="20" spans="1:9" s="3" customFormat="1" ht="31.5">
      <c r="A20" s="45" t="s">
        <v>64</v>
      </c>
      <c r="B20" s="19" t="s">
        <v>6</v>
      </c>
      <c r="C20" s="19" t="s">
        <v>9</v>
      </c>
      <c r="D20" s="19" t="s">
        <v>110</v>
      </c>
      <c r="E20" s="19"/>
      <c r="F20" s="17"/>
      <c r="G20" s="68">
        <f>G21+G22+G24+G25+G26+G23+G27</f>
        <v>409.5</v>
      </c>
      <c r="H20" s="68">
        <f>H21+H22+H24+H25+H26+H23+H27</f>
        <v>421.4</v>
      </c>
      <c r="I20" s="68">
        <f>I21+I22+I24+I25+I26+I23+I27</f>
        <v>426.4</v>
      </c>
    </row>
    <row r="21" spans="1:9" s="3" customFormat="1" ht="31.5">
      <c r="A21" s="40" t="s">
        <v>142</v>
      </c>
      <c r="B21" s="19" t="s">
        <v>6</v>
      </c>
      <c r="C21" s="19" t="s">
        <v>9</v>
      </c>
      <c r="D21" s="19" t="s">
        <v>110</v>
      </c>
      <c r="E21" s="19" t="s">
        <v>66</v>
      </c>
      <c r="F21" s="17"/>
      <c r="G21" s="68">
        <v>303</v>
      </c>
      <c r="H21" s="68">
        <v>316</v>
      </c>
      <c r="I21" s="68">
        <v>316</v>
      </c>
    </row>
    <row r="22" spans="1:9" s="3" customFormat="1" ht="48.75" customHeight="1" hidden="1">
      <c r="A22" s="40" t="s">
        <v>68</v>
      </c>
      <c r="B22" s="19" t="s">
        <v>6</v>
      </c>
      <c r="C22" s="19" t="s">
        <v>9</v>
      </c>
      <c r="D22" s="19" t="s">
        <v>110</v>
      </c>
      <c r="E22" s="19" t="s">
        <v>70</v>
      </c>
      <c r="F22" s="17" t="e">
        <f>#REF!+#REF!</f>
        <v>#REF!</v>
      </c>
      <c r="G22" s="68"/>
      <c r="H22" s="68"/>
      <c r="I22" s="68"/>
    </row>
    <row r="23" spans="1:9" s="3" customFormat="1" ht="63.75" customHeight="1">
      <c r="A23" s="40" t="s">
        <v>144</v>
      </c>
      <c r="B23" s="19" t="s">
        <v>6</v>
      </c>
      <c r="C23" s="19" t="s">
        <v>9</v>
      </c>
      <c r="D23" s="19" t="s">
        <v>110</v>
      </c>
      <c r="E23" s="19" t="s">
        <v>143</v>
      </c>
      <c r="F23" s="17"/>
      <c r="G23" s="68">
        <f>91.5-0.055-0.005-0.005</f>
        <v>91.435</v>
      </c>
      <c r="H23" s="68">
        <v>95.4</v>
      </c>
      <c r="I23" s="68">
        <v>95.4</v>
      </c>
    </row>
    <row r="24" spans="1:9" s="3" customFormat="1" ht="31.5">
      <c r="A24" s="40" t="s">
        <v>69</v>
      </c>
      <c r="B24" s="19" t="s">
        <v>6</v>
      </c>
      <c r="C24" s="19" t="s">
        <v>9</v>
      </c>
      <c r="D24" s="19" t="s">
        <v>110</v>
      </c>
      <c r="E24" s="53" t="s">
        <v>71</v>
      </c>
      <c r="F24" s="17" t="e">
        <f>#REF!</f>
        <v>#REF!</v>
      </c>
      <c r="G24" s="68">
        <v>15</v>
      </c>
      <c r="H24" s="68">
        <v>10</v>
      </c>
      <c r="I24" s="68">
        <v>15</v>
      </c>
    </row>
    <row r="25" spans="1:9" s="3" customFormat="1" ht="31.5" hidden="1">
      <c r="A25" s="40" t="s">
        <v>73</v>
      </c>
      <c r="B25" s="19" t="s">
        <v>6</v>
      </c>
      <c r="C25" s="19" t="s">
        <v>9</v>
      </c>
      <c r="D25" s="19" t="s">
        <v>110</v>
      </c>
      <c r="E25" s="53" t="s">
        <v>75</v>
      </c>
      <c r="F25" s="17"/>
      <c r="G25" s="68"/>
      <c r="H25" s="68"/>
      <c r="I25" s="68"/>
    </row>
    <row r="26" spans="1:9" s="3" customFormat="1" ht="31.5" hidden="1">
      <c r="A26" s="40" t="s">
        <v>80</v>
      </c>
      <c r="B26" s="19" t="s">
        <v>6</v>
      </c>
      <c r="C26" s="19" t="s">
        <v>9</v>
      </c>
      <c r="D26" s="19" t="s">
        <v>110</v>
      </c>
      <c r="E26" s="53" t="s">
        <v>83</v>
      </c>
      <c r="F26" s="17"/>
      <c r="G26" s="68"/>
      <c r="H26" s="68"/>
      <c r="I26" s="68"/>
    </row>
    <row r="27" spans="1:9" s="3" customFormat="1" ht="15.75">
      <c r="A27" s="40" t="s">
        <v>204</v>
      </c>
      <c r="B27" s="19" t="s">
        <v>6</v>
      </c>
      <c r="C27" s="19" t="s">
        <v>9</v>
      </c>
      <c r="D27" s="19" t="s">
        <v>110</v>
      </c>
      <c r="E27" s="54" t="s">
        <v>202</v>
      </c>
      <c r="F27" s="17"/>
      <c r="G27" s="68">
        <f>0.055+0.005+0.005</f>
        <v>0.065</v>
      </c>
      <c r="H27" s="68"/>
      <c r="I27" s="68"/>
    </row>
    <row r="28" spans="1:9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19221.628999999994</v>
      </c>
      <c r="H28" s="12">
        <f>H29</f>
        <v>18775.199999999997</v>
      </c>
      <c r="I28" s="12">
        <f>I29</f>
        <v>18839.799999999996</v>
      </c>
    </row>
    <row r="29" spans="1:9" s="3" customFormat="1" ht="31.5">
      <c r="A29" s="45" t="s">
        <v>64</v>
      </c>
      <c r="B29" s="10" t="s">
        <v>6</v>
      </c>
      <c r="C29" s="10" t="s">
        <v>11</v>
      </c>
      <c r="D29" s="10" t="s">
        <v>109</v>
      </c>
      <c r="E29" s="10"/>
      <c r="F29" s="11"/>
      <c r="G29" s="26">
        <f>G30+G39+G45+G50+G56</f>
        <v>19221.628999999994</v>
      </c>
      <c r="H29" s="26">
        <f>H30+H39+H45+H50+H56</f>
        <v>18775.199999999997</v>
      </c>
      <c r="I29" s="26">
        <f>I30+I39+I45+I50+I56</f>
        <v>18839.799999999996</v>
      </c>
    </row>
    <row r="30" spans="1:9" s="3" customFormat="1" ht="31.5">
      <c r="A30" s="45" t="s">
        <v>64</v>
      </c>
      <c r="B30" s="10" t="s">
        <v>6</v>
      </c>
      <c r="C30" s="10" t="s">
        <v>11</v>
      </c>
      <c r="D30" s="10" t="s">
        <v>110</v>
      </c>
      <c r="E30" s="10"/>
      <c r="F30" s="11"/>
      <c r="G30" s="26">
        <f>G31+G32+G34+G36+G37+G33+G38+G35</f>
        <v>17635.628999999997</v>
      </c>
      <c r="H30" s="26">
        <f>H31+H32+H34+H36+H37+H33+H38+H35</f>
        <v>17189.2</v>
      </c>
      <c r="I30" s="26">
        <f>I31+I32+I34+I36+I37+I33+I38+I35</f>
        <v>17253.8</v>
      </c>
    </row>
    <row r="31" spans="1:9" s="3" customFormat="1" ht="31.5">
      <c r="A31" s="40" t="s">
        <v>145</v>
      </c>
      <c r="B31" s="10" t="s">
        <v>6</v>
      </c>
      <c r="C31" s="10" t="s">
        <v>11</v>
      </c>
      <c r="D31" s="10" t="s">
        <v>110</v>
      </c>
      <c r="E31" s="54" t="s">
        <v>66</v>
      </c>
      <c r="F31" s="11"/>
      <c r="G31" s="26">
        <v>12093.1</v>
      </c>
      <c r="H31" s="26">
        <v>12593.1</v>
      </c>
      <c r="I31" s="26">
        <v>12593.1</v>
      </c>
    </row>
    <row r="32" spans="1:9" s="3" customFormat="1" ht="48.75" customHeight="1">
      <c r="A32" s="40" t="s">
        <v>68</v>
      </c>
      <c r="B32" s="10" t="s">
        <v>6</v>
      </c>
      <c r="C32" s="10" t="s">
        <v>11</v>
      </c>
      <c r="D32" s="10" t="s">
        <v>110</v>
      </c>
      <c r="E32" s="54" t="s">
        <v>70</v>
      </c>
      <c r="F32" s="11"/>
      <c r="G32" s="26">
        <f>1.8+1.071</f>
        <v>2.871</v>
      </c>
      <c r="H32" s="26"/>
      <c r="I32" s="26"/>
    </row>
    <row r="33" spans="1:9" s="3" customFormat="1" ht="48.75" customHeight="1">
      <c r="A33" s="40" t="s">
        <v>144</v>
      </c>
      <c r="B33" s="10" t="s">
        <v>6</v>
      </c>
      <c r="C33" s="10" t="s">
        <v>11</v>
      </c>
      <c r="D33" s="10" t="s">
        <v>110</v>
      </c>
      <c r="E33" s="54" t="s">
        <v>143</v>
      </c>
      <c r="F33" s="11"/>
      <c r="G33" s="26">
        <f>3645.1-63.1</f>
        <v>3582</v>
      </c>
      <c r="H33" s="26">
        <v>3803.1</v>
      </c>
      <c r="I33" s="26">
        <v>3803.1</v>
      </c>
    </row>
    <row r="34" spans="1:9" s="3" customFormat="1" ht="47.25">
      <c r="A34" s="45" t="s">
        <v>72</v>
      </c>
      <c r="B34" s="10" t="s">
        <v>6</v>
      </c>
      <c r="C34" s="10" t="s">
        <v>11</v>
      </c>
      <c r="D34" s="10" t="s">
        <v>110</v>
      </c>
      <c r="E34" s="54" t="s">
        <v>71</v>
      </c>
      <c r="F34" s="11"/>
      <c r="G34" s="26">
        <f>870-100.809+94.862+0.1+700+35.133+11.8+42+31+40+14.5</f>
        <v>1738.586</v>
      </c>
      <c r="H34" s="26">
        <v>750</v>
      </c>
      <c r="I34" s="26">
        <v>800</v>
      </c>
    </row>
    <row r="35" spans="1:9" s="3" customFormat="1" ht="47.25" hidden="1">
      <c r="A35" s="75" t="s">
        <v>218</v>
      </c>
      <c r="B35" s="10" t="s">
        <v>6</v>
      </c>
      <c r="C35" s="10" t="s">
        <v>11</v>
      </c>
      <c r="D35" s="10" t="s">
        <v>110</v>
      </c>
      <c r="E35" s="54" t="s">
        <v>84</v>
      </c>
      <c r="F35" s="11"/>
      <c r="G35" s="26"/>
      <c r="H35" s="26"/>
      <c r="I35" s="26"/>
    </row>
    <row r="36" spans="1:9" s="3" customFormat="1" ht="31.5">
      <c r="A36" s="45" t="s">
        <v>73</v>
      </c>
      <c r="B36" s="10" t="s">
        <v>6</v>
      </c>
      <c r="C36" s="10" t="s">
        <v>11</v>
      </c>
      <c r="D36" s="10" t="s">
        <v>110</v>
      </c>
      <c r="E36" s="54" t="s">
        <v>75</v>
      </c>
      <c r="F36" s="11"/>
      <c r="G36" s="26">
        <v>10</v>
      </c>
      <c r="H36" s="26">
        <v>25</v>
      </c>
      <c r="I36" s="26">
        <v>33.6</v>
      </c>
    </row>
    <row r="37" spans="1:9" s="3" customFormat="1" ht="32.25" customHeight="1">
      <c r="A37" s="40" t="s">
        <v>80</v>
      </c>
      <c r="B37" s="10" t="s">
        <v>6</v>
      </c>
      <c r="C37" s="10" t="s">
        <v>11</v>
      </c>
      <c r="D37" s="10" t="s">
        <v>110</v>
      </c>
      <c r="E37" s="54" t="s">
        <v>83</v>
      </c>
      <c r="F37" s="11"/>
      <c r="G37" s="26">
        <f>85.2</f>
        <v>85.2</v>
      </c>
      <c r="H37" s="26"/>
      <c r="I37" s="26"/>
    </row>
    <row r="38" spans="1:9" s="3" customFormat="1" ht="15.75">
      <c r="A38" s="40" t="s">
        <v>204</v>
      </c>
      <c r="B38" s="10" t="s">
        <v>6</v>
      </c>
      <c r="C38" s="10" t="s">
        <v>11</v>
      </c>
      <c r="D38" s="10" t="s">
        <v>110</v>
      </c>
      <c r="E38" s="54" t="s">
        <v>202</v>
      </c>
      <c r="F38" s="11"/>
      <c r="G38" s="26">
        <f>25+63.1+10.993+1+23.779</f>
        <v>123.87199999999999</v>
      </c>
      <c r="H38" s="26">
        <v>18</v>
      </c>
      <c r="I38" s="26">
        <v>24</v>
      </c>
    </row>
    <row r="39" spans="1:9" s="3" customFormat="1" ht="47.25">
      <c r="A39" s="40" t="s">
        <v>250</v>
      </c>
      <c r="B39" s="10" t="s">
        <v>6</v>
      </c>
      <c r="C39" s="10" t="s">
        <v>11</v>
      </c>
      <c r="D39" s="10" t="s">
        <v>111</v>
      </c>
      <c r="E39" s="10"/>
      <c r="F39" s="11"/>
      <c r="G39" s="26">
        <f>G40+G41+G44+G41+G42+G43</f>
        <v>295.6</v>
      </c>
      <c r="H39" s="26">
        <f>H40+H41+H44+H41+H42+H43</f>
        <v>295.6</v>
      </c>
      <c r="I39" s="26">
        <f>I40+I41+I44+I41+I42+I43</f>
        <v>295.6</v>
      </c>
    </row>
    <row r="40" spans="1:9" s="3" customFormat="1" ht="47.25">
      <c r="A40" s="40" t="s">
        <v>65</v>
      </c>
      <c r="B40" s="10" t="s">
        <v>6</v>
      </c>
      <c r="C40" s="10" t="s">
        <v>11</v>
      </c>
      <c r="D40" s="10" t="s">
        <v>111</v>
      </c>
      <c r="E40" s="10" t="s">
        <v>66</v>
      </c>
      <c r="F40" s="11"/>
      <c r="G40" s="26">
        <v>208.4</v>
      </c>
      <c r="H40" s="26">
        <v>208.4</v>
      </c>
      <c r="I40" s="26">
        <v>208.4</v>
      </c>
    </row>
    <row r="41" spans="1:9" s="3" customFormat="1" ht="48.75" customHeight="1" hidden="1">
      <c r="A41" s="40" t="s">
        <v>68</v>
      </c>
      <c r="B41" s="10" t="s">
        <v>6</v>
      </c>
      <c r="C41" s="10" t="s">
        <v>11</v>
      </c>
      <c r="D41" s="10" t="s">
        <v>111</v>
      </c>
      <c r="E41" s="10" t="s">
        <v>70</v>
      </c>
      <c r="F41" s="11"/>
      <c r="G41" s="26"/>
      <c r="H41" s="26"/>
      <c r="I41" s="26"/>
    </row>
    <row r="42" spans="1:9" s="3" customFormat="1" ht="48.75" customHeight="1">
      <c r="A42" s="40" t="s">
        <v>144</v>
      </c>
      <c r="B42" s="10" t="s">
        <v>6</v>
      </c>
      <c r="C42" s="10" t="s">
        <v>11</v>
      </c>
      <c r="D42" s="10" t="s">
        <v>111</v>
      </c>
      <c r="E42" s="10" t="s">
        <v>143</v>
      </c>
      <c r="F42" s="11"/>
      <c r="G42" s="26">
        <v>63</v>
      </c>
      <c r="H42" s="26">
        <v>63</v>
      </c>
      <c r="I42" s="26">
        <v>63</v>
      </c>
    </row>
    <row r="43" spans="1:9" s="3" customFormat="1" ht="48.75" customHeight="1" hidden="1">
      <c r="A43" s="40" t="s">
        <v>197</v>
      </c>
      <c r="B43" s="10" t="s">
        <v>6</v>
      </c>
      <c r="C43" s="10" t="s">
        <v>11</v>
      </c>
      <c r="D43" s="10" t="s">
        <v>111</v>
      </c>
      <c r="E43" s="10" t="s">
        <v>196</v>
      </c>
      <c r="F43" s="11"/>
      <c r="G43" s="26"/>
      <c r="H43" s="26"/>
      <c r="I43" s="26"/>
    </row>
    <row r="44" spans="1:9" s="3" customFormat="1" ht="47.25">
      <c r="A44" s="45" t="s">
        <v>72</v>
      </c>
      <c r="B44" s="10" t="s">
        <v>6</v>
      </c>
      <c r="C44" s="10" t="s">
        <v>11</v>
      </c>
      <c r="D44" s="10" t="s">
        <v>111</v>
      </c>
      <c r="E44" s="54" t="s">
        <v>71</v>
      </c>
      <c r="F44" s="11"/>
      <c r="G44" s="26">
        <v>24.2</v>
      </c>
      <c r="H44" s="26">
        <v>24.2</v>
      </c>
      <c r="I44" s="26">
        <v>24.2</v>
      </c>
    </row>
    <row r="45" spans="1:9" s="3" customFormat="1" ht="31.5">
      <c r="A45" s="40" t="s">
        <v>251</v>
      </c>
      <c r="B45" s="10" t="s">
        <v>6</v>
      </c>
      <c r="C45" s="10" t="s">
        <v>11</v>
      </c>
      <c r="D45" s="10" t="s">
        <v>112</v>
      </c>
      <c r="E45" s="10"/>
      <c r="F45" s="11"/>
      <c r="G45" s="26">
        <f>G49+G46+G47+G48</f>
        <v>704</v>
      </c>
      <c r="H45" s="26">
        <f>H49+H46+H47+H48</f>
        <v>704</v>
      </c>
      <c r="I45" s="26">
        <f>I49+I46+I47+I48</f>
        <v>704</v>
      </c>
    </row>
    <row r="46" spans="1:9" s="3" customFormat="1" ht="47.25">
      <c r="A46" s="51" t="s">
        <v>65</v>
      </c>
      <c r="B46" s="10" t="s">
        <v>6</v>
      </c>
      <c r="C46" s="10" t="s">
        <v>11</v>
      </c>
      <c r="D46" s="10" t="s">
        <v>112</v>
      </c>
      <c r="E46" s="10" t="s">
        <v>66</v>
      </c>
      <c r="F46" s="11"/>
      <c r="G46" s="26">
        <v>424.4</v>
      </c>
      <c r="H46" s="26">
        <v>424.4</v>
      </c>
      <c r="I46" s="26">
        <v>424.4</v>
      </c>
    </row>
    <row r="47" spans="1:9" s="3" customFormat="1" ht="52.5" customHeight="1" hidden="1">
      <c r="A47" s="51" t="s">
        <v>68</v>
      </c>
      <c r="B47" s="10" t="s">
        <v>6</v>
      </c>
      <c r="C47" s="10" t="s">
        <v>11</v>
      </c>
      <c r="D47" s="10" t="s">
        <v>112</v>
      </c>
      <c r="E47" s="10" t="s">
        <v>70</v>
      </c>
      <c r="F47" s="11"/>
      <c r="G47" s="26"/>
      <c r="H47" s="26"/>
      <c r="I47" s="26"/>
    </row>
    <row r="48" spans="1:9" s="3" customFormat="1" ht="47.25" customHeight="1">
      <c r="A48" s="40" t="s">
        <v>144</v>
      </c>
      <c r="B48" s="10" t="s">
        <v>6</v>
      </c>
      <c r="C48" s="10" t="s">
        <v>11</v>
      </c>
      <c r="D48" s="10" t="s">
        <v>112</v>
      </c>
      <c r="E48" s="10" t="s">
        <v>143</v>
      </c>
      <c r="F48" s="11"/>
      <c r="G48" s="26">
        <v>128.2</v>
      </c>
      <c r="H48" s="26">
        <v>128.2</v>
      </c>
      <c r="I48" s="26">
        <v>128.2</v>
      </c>
    </row>
    <row r="49" spans="1:9" s="3" customFormat="1" ht="47.25">
      <c r="A49" s="45" t="s">
        <v>72</v>
      </c>
      <c r="B49" s="10" t="s">
        <v>6</v>
      </c>
      <c r="C49" s="10" t="s">
        <v>11</v>
      </c>
      <c r="D49" s="10" t="s">
        <v>112</v>
      </c>
      <c r="E49" s="54" t="s">
        <v>71</v>
      </c>
      <c r="F49" s="11"/>
      <c r="G49" s="26">
        <v>151.4</v>
      </c>
      <c r="H49" s="26">
        <v>151.4</v>
      </c>
      <c r="I49" s="26">
        <v>151.4</v>
      </c>
    </row>
    <row r="50" spans="1:9" s="3" customFormat="1" ht="63">
      <c r="A50" s="40" t="s">
        <v>252</v>
      </c>
      <c r="B50" s="10" t="s">
        <v>6</v>
      </c>
      <c r="C50" s="10" t="s">
        <v>11</v>
      </c>
      <c r="D50" s="10" t="s">
        <v>113</v>
      </c>
      <c r="E50" s="10"/>
      <c r="F50" s="11"/>
      <c r="G50" s="26">
        <f>G55+G51+G52+G54+G53</f>
        <v>316.1</v>
      </c>
      <c r="H50" s="26">
        <f>H55+H51+H52+H54+H53</f>
        <v>316.1</v>
      </c>
      <c r="I50" s="26">
        <f>I55+I51+I52+I54+I53</f>
        <v>316.1</v>
      </c>
    </row>
    <row r="51" spans="1:9" s="3" customFormat="1" ht="47.25">
      <c r="A51" s="51" t="s">
        <v>65</v>
      </c>
      <c r="B51" s="10" t="s">
        <v>6</v>
      </c>
      <c r="C51" s="10" t="s">
        <v>11</v>
      </c>
      <c r="D51" s="10" t="s">
        <v>113</v>
      </c>
      <c r="E51" s="10" t="s">
        <v>66</v>
      </c>
      <c r="F51" s="11"/>
      <c r="G51" s="26">
        <f>224.6-2.2</f>
        <v>222.4</v>
      </c>
      <c r="H51" s="26">
        <v>224.6</v>
      </c>
      <c r="I51" s="26">
        <v>224.6</v>
      </c>
    </row>
    <row r="52" spans="1:9" s="3" customFormat="1" ht="49.5" customHeight="1">
      <c r="A52" s="51" t="s">
        <v>68</v>
      </c>
      <c r="B52" s="10" t="s">
        <v>6</v>
      </c>
      <c r="C52" s="10" t="s">
        <v>11</v>
      </c>
      <c r="D52" s="10" t="s">
        <v>113</v>
      </c>
      <c r="E52" s="10" t="s">
        <v>70</v>
      </c>
      <c r="F52" s="11"/>
      <c r="G52" s="26">
        <v>2.447</v>
      </c>
      <c r="H52" s="26"/>
      <c r="I52" s="26"/>
    </row>
    <row r="53" spans="1:9" s="3" customFormat="1" ht="80.25" customHeight="1">
      <c r="A53" s="51" t="s">
        <v>356</v>
      </c>
      <c r="B53" s="10" t="s">
        <v>6</v>
      </c>
      <c r="C53" s="10" t="s">
        <v>11</v>
      </c>
      <c r="D53" s="10" t="s">
        <v>113</v>
      </c>
      <c r="E53" s="10" t="s">
        <v>355</v>
      </c>
      <c r="F53" s="11"/>
      <c r="G53" s="26">
        <f>1.65+2.2</f>
        <v>3.85</v>
      </c>
      <c r="H53" s="26"/>
      <c r="I53" s="26"/>
    </row>
    <row r="54" spans="1:9" s="3" customFormat="1" ht="49.5" customHeight="1">
      <c r="A54" s="40" t="s">
        <v>144</v>
      </c>
      <c r="B54" s="10" t="s">
        <v>6</v>
      </c>
      <c r="C54" s="10" t="s">
        <v>11</v>
      </c>
      <c r="D54" s="10" t="s">
        <v>113</v>
      </c>
      <c r="E54" s="10" t="s">
        <v>143</v>
      </c>
      <c r="F54" s="11"/>
      <c r="G54" s="26">
        <v>67.9</v>
      </c>
      <c r="H54" s="26">
        <v>67.9</v>
      </c>
      <c r="I54" s="26">
        <v>67.9</v>
      </c>
    </row>
    <row r="55" spans="1:9" s="3" customFormat="1" ht="47.25">
      <c r="A55" s="45" t="s">
        <v>72</v>
      </c>
      <c r="B55" s="10" t="s">
        <v>6</v>
      </c>
      <c r="C55" s="10" t="s">
        <v>11</v>
      </c>
      <c r="D55" s="10" t="s">
        <v>113</v>
      </c>
      <c r="E55" s="54" t="s">
        <v>71</v>
      </c>
      <c r="F55" s="11"/>
      <c r="G55" s="26">
        <f>23.6-1.65-2.447</f>
        <v>19.503000000000004</v>
      </c>
      <c r="H55" s="26">
        <v>23.6</v>
      </c>
      <c r="I55" s="26">
        <v>23.6</v>
      </c>
    </row>
    <row r="56" spans="1:9" s="3" customFormat="1" ht="63">
      <c r="A56" s="40" t="s">
        <v>253</v>
      </c>
      <c r="B56" s="10" t="s">
        <v>6</v>
      </c>
      <c r="C56" s="10" t="s">
        <v>11</v>
      </c>
      <c r="D56" s="10" t="s">
        <v>114</v>
      </c>
      <c r="E56" s="10"/>
      <c r="F56" s="11"/>
      <c r="G56" s="26">
        <f>G59+G57+G58</f>
        <v>270.3</v>
      </c>
      <c r="H56" s="26">
        <f>H59+H57+H58</f>
        <v>270.3</v>
      </c>
      <c r="I56" s="26">
        <f>I59+I57+I58</f>
        <v>270.3</v>
      </c>
    </row>
    <row r="57" spans="1:9" s="3" customFormat="1" ht="47.25" hidden="1">
      <c r="A57" s="51" t="s">
        <v>65</v>
      </c>
      <c r="B57" s="10" t="s">
        <v>6</v>
      </c>
      <c r="C57" s="10" t="s">
        <v>11</v>
      </c>
      <c r="D57" s="10" t="s">
        <v>114</v>
      </c>
      <c r="E57" s="10" t="s">
        <v>66</v>
      </c>
      <c r="F57" s="11"/>
      <c r="G57" s="26"/>
      <c r="H57" s="26"/>
      <c r="I57" s="26"/>
    </row>
    <row r="58" spans="1:9" s="3" customFormat="1" ht="51.75" customHeight="1" hidden="1">
      <c r="A58" s="40" t="s">
        <v>144</v>
      </c>
      <c r="B58" s="10" t="s">
        <v>6</v>
      </c>
      <c r="C58" s="10" t="s">
        <v>11</v>
      </c>
      <c r="D58" s="10" t="s">
        <v>114</v>
      </c>
      <c r="E58" s="10" t="s">
        <v>143</v>
      </c>
      <c r="F58" s="11"/>
      <c r="G58" s="26"/>
      <c r="H58" s="26"/>
      <c r="I58" s="26"/>
    </row>
    <row r="59" spans="1:9" s="3" customFormat="1" ht="47.25">
      <c r="A59" s="45" t="s">
        <v>72</v>
      </c>
      <c r="B59" s="10" t="s">
        <v>6</v>
      </c>
      <c r="C59" s="10" t="s">
        <v>11</v>
      </c>
      <c r="D59" s="10" t="s">
        <v>114</v>
      </c>
      <c r="E59" s="54" t="s">
        <v>71</v>
      </c>
      <c r="F59" s="11"/>
      <c r="G59" s="26">
        <v>270.3</v>
      </c>
      <c r="H59" s="26">
        <v>270.3</v>
      </c>
      <c r="I59" s="26">
        <v>270.3</v>
      </c>
    </row>
    <row r="60" spans="1:9" s="55" customFormat="1" ht="15.75" customHeight="1" hidden="1">
      <c r="A60" s="49" t="s">
        <v>42</v>
      </c>
      <c r="B60" s="27" t="s">
        <v>6</v>
      </c>
      <c r="C60" s="27" t="s">
        <v>18</v>
      </c>
      <c r="D60" s="27"/>
      <c r="E60" s="27"/>
      <c r="F60" s="28" t="e">
        <f>F61</f>
        <v>#REF!</v>
      </c>
      <c r="G60" s="29">
        <f>G61</f>
        <v>0</v>
      </c>
      <c r="H60" s="29">
        <f>H61</f>
        <v>0</v>
      </c>
      <c r="I60" s="29">
        <f>I61</f>
        <v>0</v>
      </c>
    </row>
    <row r="61" spans="1:9" s="3" customFormat="1" ht="31.5" hidden="1">
      <c r="A61" s="45" t="s">
        <v>64</v>
      </c>
      <c r="B61" s="10" t="s">
        <v>6</v>
      </c>
      <c r="C61" s="10" t="s">
        <v>18</v>
      </c>
      <c r="D61" s="10" t="s">
        <v>109</v>
      </c>
      <c r="E61" s="10"/>
      <c r="F61" s="14" t="e">
        <f>#REF!</f>
        <v>#REF!</v>
      </c>
      <c r="G61" s="15">
        <f aca="true" t="shared" si="2" ref="G61:I62">G62</f>
        <v>0</v>
      </c>
      <c r="H61" s="15">
        <f t="shared" si="2"/>
        <v>0</v>
      </c>
      <c r="I61" s="15">
        <f t="shared" si="2"/>
        <v>0</v>
      </c>
    </row>
    <row r="62" spans="1:9" s="3" customFormat="1" ht="78.75" hidden="1">
      <c r="A62" s="62" t="s">
        <v>254</v>
      </c>
      <c r="B62" s="19" t="s">
        <v>6</v>
      </c>
      <c r="C62" s="19" t="s">
        <v>18</v>
      </c>
      <c r="D62" s="19" t="s">
        <v>190</v>
      </c>
      <c r="E62" s="19"/>
      <c r="F62" s="21"/>
      <c r="G62" s="15">
        <f t="shared" si="2"/>
        <v>0</v>
      </c>
      <c r="H62" s="15">
        <f t="shared" si="2"/>
        <v>0</v>
      </c>
      <c r="I62" s="15">
        <f t="shared" si="2"/>
        <v>0</v>
      </c>
    </row>
    <row r="63" spans="1:9" s="3" customFormat="1" ht="47.25" hidden="1">
      <c r="A63" s="45" t="s">
        <v>72</v>
      </c>
      <c r="B63" s="19" t="s">
        <v>6</v>
      </c>
      <c r="C63" s="19" t="s">
        <v>18</v>
      </c>
      <c r="D63" s="19" t="s">
        <v>190</v>
      </c>
      <c r="E63" s="19" t="s">
        <v>71</v>
      </c>
      <c r="F63" s="21"/>
      <c r="G63" s="15"/>
      <c r="H63" s="15"/>
      <c r="I63" s="15"/>
    </row>
    <row r="64" spans="1:9" s="55" customFormat="1" ht="65.25" customHeight="1">
      <c r="A64" s="49" t="s">
        <v>51</v>
      </c>
      <c r="B64" s="27" t="s">
        <v>6</v>
      </c>
      <c r="C64" s="27" t="s">
        <v>24</v>
      </c>
      <c r="D64" s="27"/>
      <c r="E64" s="27"/>
      <c r="F64" s="28" t="e">
        <f>#REF!</f>
        <v>#REF!</v>
      </c>
      <c r="G64" s="29">
        <f>G65+G78</f>
        <v>4628.937</v>
      </c>
      <c r="H64" s="29">
        <f>H65+H78</f>
        <v>4391.5</v>
      </c>
      <c r="I64" s="29">
        <f>I65+I78</f>
        <v>4417.8</v>
      </c>
    </row>
    <row r="65" spans="1:9" s="55" customFormat="1" ht="31.5">
      <c r="A65" s="45" t="s">
        <v>64</v>
      </c>
      <c r="B65" s="10" t="s">
        <v>6</v>
      </c>
      <c r="C65" s="10" t="s">
        <v>24</v>
      </c>
      <c r="D65" s="10" t="s">
        <v>109</v>
      </c>
      <c r="E65" s="27"/>
      <c r="F65" s="28"/>
      <c r="G65" s="26">
        <f>G66+G74</f>
        <v>4284.137</v>
      </c>
      <c r="H65" s="26">
        <f>H66+H74</f>
        <v>4391.5</v>
      </c>
      <c r="I65" s="26">
        <f>I66+I74</f>
        <v>4417.8</v>
      </c>
    </row>
    <row r="66" spans="1:9" s="55" customFormat="1" ht="31.5">
      <c r="A66" s="45" t="s">
        <v>64</v>
      </c>
      <c r="B66" s="10" t="s">
        <v>6</v>
      </c>
      <c r="C66" s="10" t="s">
        <v>24</v>
      </c>
      <c r="D66" s="10" t="s">
        <v>110</v>
      </c>
      <c r="E66" s="10"/>
      <c r="F66" s="28"/>
      <c r="G66" s="26">
        <f>G67+G68+G70+G72+G71+G69+G73</f>
        <v>3423.437</v>
      </c>
      <c r="H66" s="26">
        <f>H67+H68+H70+H72+H71+H69+H73</f>
        <v>3684.5</v>
      </c>
      <c r="I66" s="26">
        <f>I67+I68+I70+I72+I71+I69+I73</f>
        <v>3710.8</v>
      </c>
    </row>
    <row r="67" spans="1:9" s="55" customFormat="1" ht="47.25">
      <c r="A67" s="40" t="s">
        <v>65</v>
      </c>
      <c r="B67" s="10" t="s">
        <v>6</v>
      </c>
      <c r="C67" s="10" t="s">
        <v>24</v>
      </c>
      <c r="D67" s="10" t="s">
        <v>110</v>
      </c>
      <c r="E67" s="54" t="s">
        <v>66</v>
      </c>
      <c r="F67" s="28"/>
      <c r="G67" s="26">
        <f>2304.7+242.4-0.6-136</f>
        <v>2410.5</v>
      </c>
      <c r="H67" s="26">
        <f>2404.7+252.4</f>
        <v>2657.1</v>
      </c>
      <c r="I67" s="26">
        <f>2404.7+252.4</f>
        <v>2657.1</v>
      </c>
    </row>
    <row r="68" spans="1:9" s="55" customFormat="1" ht="53.25" customHeight="1">
      <c r="A68" s="40" t="s">
        <v>68</v>
      </c>
      <c r="B68" s="10" t="s">
        <v>6</v>
      </c>
      <c r="C68" s="10" t="s">
        <v>24</v>
      </c>
      <c r="D68" s="10" t="s">
        <v>110</v>
      </c>
      <c r="E68" s="54" t="s">
        <v>70</v>
      </c>
      <c r="F68" s="28"/>
      <c r="G68" s="26">
        <f>10+0.6-10</f>
        <v>0.5999999999999996</v>
      </c>
      <c r="H68" s="26">
        <v>10</v>
      </c>
      <c r="I68" s="26">
        <v>11.3</v>
      </c>
    </row>
    <row r="69" spans="1:9" s="55" customFormat="1" ht="50.25" customHeight="1">
      <c r="A69" s="40" t="s">
        <v>144</v>
      </c>
      <c r="B69" s="10" t="s">
        <v>6</v>
      </c>
      <c r="C69" s="10" t="s">
        <v>24</v>
      </c>
      <c r="D69" s="10" t="s">
        <v>110</v>
      </c>
      <c r="E69" s="54" t="s">
        <v>143</v>
      </c>
      <c r="F69" s="28"/>
      <c r="G69" s="26">
        <f>696.2+73.2-56.6+62</f>
        <v>774.8000000000001</v>
      </c>
      <c r="H69" s="26">
        <f>726.2+76.2</f>
        <v>802.4000000000001</v>
      </c>
      <c r="I69" s="26">
        <f>726.2+76.2</f>
        <v>802.4000000000001</v>
      </c>
    </row>
    <row r="70" spans="1:9" s="55" customFormat="1" ht="47.25">
      <c r="A70" s="45" t="s">
        <v>72</v>
      </c>
      <c r="B70" s="10" t="s">
        <v>6</v>
      </c>
      <c r="C70" s="10" t="s">
        <v>24</v>
      </c>
      <c r="D70" s="10" t="s">
        <v>110</v>
      </c>
      <c r="E70" s="54" t="s">
        <v>71</v>
      </c>
      <c r="F70" s="28"/>
      <c r="G70" s="26">
        <f>250+25+60.037-31-66.5</f>
        <v>237.53699999999998</v>
      </c>
      <c r="H70" s="26">
        <f>180+35</f>
        <v>215</v>
      </c>
      <c r="I70" s="26">
        <v>240</v>
      </c>
    </row>
    <row r="71" spans="1:9" s="55" customFormat="1" ht="31.5" hidden="1">
      <c r="A71" s="45" t="s">
        <v>73</v>
      </c>
      <c r="B71" s="10" t="s">
        <v>6</v>
      </c>
      <c r="C71" s="10" t="s">
        <v>24</v>
      </c>
      <c r="D71" s="10" t="s">
        <v>110</v>
      </c>
      <c r="E71" s="54" t="s">
        <v>75</v>
      </c>
      <c r="F71" s="28"/>
      <c r="G71" s="26"/>
      <c r="H71" s="26"/>
      <c r="I71" s="26"/>
    </row>
    <row r="72" spans="1:9" s="55" customFormat="1" ht="31.5" hidden="1">
      <c r="A72" s="45" t="s">
        <v>80</v>
      </c>
      <c r="B72" s="10" t="s">
        <v>6</v>
      </c>
      <c r="C72" s="10" t="s">
        <v>24</v>
      </c>
      <c r="D72" s="10" t="s">
        <v>110</v>
      </c>
      <c r="E72" s="54" t="s">
        <v>83</v>
      </c>
      <c r="F72" s="28"/>
      <c r="G72" s="26"/>
      <c r="H72" s="26"/>
      <c r="I72" s="26"/>
    </row>
    <row r="73" spans="1:9" s="55" customFormat="1" ht="15.75" hidden="1">
      <c r="A73" s="64" t="s">
        <v>204</v>
      </c>
      <c r="B73" s="10" t="s">
        <v>6</v>
      </c>
      <c r="C73" s="10" t="s">
        <v>24</v>
      </c>
      <c r="D73" s="10" t="s">
        <v>110</v>
      </c>
      <c r="E73" s="54" t="s">
        <v>202</v>
      </c>
      <c r="F73" s="28"/>
      <c r="G73" s="26"/>
      <c r="H73" s="26"/>
      <c r="I73" s="26"/>
    </row>
    <row r="74" spans="1:9" s="55" customFormat="1" ht="31.5">
      <c r="A74" s="59" t="s">
        <v>52</v>
      </c>
      <c r="B74" s="10" t="s">
        <v>6</v>
      </c>
      <c r="C74" s="10" t="s">
        <v>24</v>
      </c>
      <c r="D74" s="10" t="s">
        <v>115</v>
      </c>
      <c r="E74" s="10"/>
      <c r="F74" s="28"/>
      <c r="G74" s="26">
        <f>G75+G76+G77</f>
        <v>860.7</v>
      </c>
      <c r="H74" s="26">
        <f>H75+H76+H77</f>
        <v>707</v>
      </c>
      <c r="I74" s="26">
        <f>I75+I76+I77</f>
        <v>707</v>
      </c>
    </row>
    <row r="75" spans="1:9" s="55" customFormat="1" ht="47.25">
      <c r="A75" s="40" t="s">
        <v>65</v>
      </c>
      <c r="B75" s="10" t="s">
        <v>6</v>
      </c>
      <c r="C75" s="10" t="s">
        <v>24</v>
      </c>
      <c r="D75" s="10" t="s">
        <v>115</v>
      </c>
      <c r="E75" s="10" t="s">
        <v>66</v>
      </c>
      <c r="F75" s="28"/>
      <c r="G75" s="26">
        <f>505.2+5+136</f>
        <v>646.2</v>
      </c>
      <c r="H75" s="26">
        <v>543</v>
      </c>
      <c r="I75" s="26">
        <v>543</v>
      </c>
    </row>
    <row r="76" spans="1:9" s="55" customFormat="1" ht="66.75" customHeight="1">
      <c r="A76" s="40" t="s">
        <v>144</v>
      </c>
      <c r="B76" s="10" t="s">
        <v>6</v>
      </c>
      <c r="C76" s="10" t="s">
        <v>24</v>
      </c>
      <c r="D76" s="10" t="s">
        <v>115</v>
      </c>
      <c r="E76" s="10" t="s">
        <v>143</v>
      </c>
      <c r="F76" s="28"/>
      <c r="G76" s="26">
        <f>152.9-0.05+56.6-5+10</f>
        <v>214.45</v>
      </c>
      <c r="H76" s="26">
        <v>164</v>
      </c>
      <c r="I76" s="26">
        <v>164</v>
      </c>
    </row>
    <row r="77" spans="1:9" s="55" customFormat="1" ht="15.75">
      <c r="A77" s="40" t="s">
        <v>204</v>
      </c>
      <c r="B77" s="10" t="s">
        <v>6</v>
      </c>
      <c r="C77" s="10" t="s">
        <v>24</v>
      </c>
      <c r="D77" s="10" t="s">
        <v>115</v>
      </c>
      <c r="E77" s="10" t="s">
        <v>202</v>
      </c>
      <c r="F77" s="28"/>
      <c r="G77" s="26">
        <f>0.05</f>
        <v>0.05</v>
      </c>
      <c r="H77" s="26"/>
      <c r="I77" s="26"/>
    </row>
    <row r="78" spans="1:9" s="55" customFormat="1" ht="31.5">
      <c r="A78" s="39" t="s">
        <v>74</v>
      </c>
      <c r="B78" s="10" t="s">
        <v>6</v>
      </c>
      <c r="C78" s="10" t="s">
        <v>24</v>
      </c>
      <c r="D78" s="10" t="s">
        <v>116</v>
      </c>
      <c r="E78" s="19"/>
      <c r="F78" s="28"/>
      <c r="G78" s="26">
        <f>G79</f>
        <v>344.8</v>
      </c>
      <c r="H78" s="26">
        <f>H79</f>
        <v>0</v>
      </c>
      <c r="I78" s="26">
        <f>I79</f>
        <v>0</v>
      </c>
    </row>
    <row r="79" spans="1:9" s="55" customFormat="1" ht="96" customHeight="1">
      <c r="A79" s="40" t="s">
        <v>195</v>
      </c>
      <c r="B79" s="10" t="s">
        <v>6</v>
      </c>
      <c r="C79" s="10" t="s">
        <v>24</v>
      </c>
      <c r="D79" s="10" t="s">
        <v>194</v>
      </c>
      <c r="F79" s="28"/>
      <c r="G79" s="26">
        <f>G80+G81+G82+G83</f>
        <v>344.8</v>
      </c>
      <c r="H79" s="26">
        <f>H80+H81+H82+H83</f>
        <v>0</v>
      </c>
      <c r="I79" s="26">
        <f>I80+I81+I82+I83</f>
        <v>0</v>
      </c>
    </row>
    <row r="80" spans="1:9" s="55" customFormat="1" ht="47.25">
      <c r="A80" s="40" t="s">
        <v>65</v>
      </c>
      <c r="B80" s="10" t="s">
        <v>6</v>
      </c>
      <c r="C80" s="10" t="s">
        <v>24</v>
      </c>
      <c r="D80" s="10" t="s">
        <v>194</v>
      </c>
      <c r="E80" s="10" t="s">
        <v>66</v>
      </c>
      <c r="F80" s="28"/>
      <c r="G80" s="26">
        <f>255-2.85-1.512</f>
        <v>250.638</v>
      </c>
      <c r="H80" s="26"/>
      <c r="I80" s="26"/>
    </row>
    <row r="81" spans="1:9" s="55" customFormat="1" ht="48.75" customHeight="1">
      <c r="A81" s="40" t="s">
        <v>68</v>
      </c>
      <c r="B81" s="10" t="s">
        <v>6</v>
      </c>
      <c r="C81" s="10" t="s">
        <v>24</v>
      </c>
      <c r="D81" s="10" t="s">
        <v>194</v>
      </c>
      <c r="E81" s="10" t="s">
        <v>70</v>
      </c>
      <c r="F81" s="28"/>
      <c r="G81" s="26">
        <f>1.512</f>
        <v>1.512</v>
      </c>
      <c r="H81" s="26"/>
      <c r="I81" s="26"/>
    </row>
    <row r="82" spans="1:9" s="55" customFormat="1" ht="65.25" customHeight="1">
      <c r="A82" s="40" t="s">
        <v>144</v>
      </c>
      <c r="B82" s="10" t="s">
        <v>6</v>
      </c>
      <c r="C82" s="10" t="s">
        <v>24</v>
      </c>
      <c r="D82" s="10" t="s">
        <v>194</v>
      </c>
      <c r="E82" s="10" t="s">
        <v>143</v>
      </c>
      <c r="F82" s="28"/>
      <c r="G82" s="26">
        <v>89.8</v>
      </c>
      <c r="H82" s="26"/>
      <c r="I82" s="26"/>
    </row>
    <row r="83" spans="1:9" s="55" customFormat="1" ht="47.25">
      <c r="A83" s="45" t="s">
        <v>72</v>
      </c>
      <c r="B83" s="10" t="s">
        <v>6</v>
      </c>
      <c r="C83" s="10" t="s">
        <v>24</v>
      </c>
      <c r="D83" s="10" t="s">
        <v>194</v>
      </c>
      <c r="E83" s="10" t="s">
        <v>71</v>
      </c>
      <c r="F83" s="28"/>
      <c r="G83" s="26">
        <f>2.85</f>
        <v>2.85</v>
      </c>
      <c r="H83" s="26"/>
      <c r="I83" s="26"/>
    </row>
    <row r="84" spans="1:9" s="52" customFormat="1" ht="15.75" customHeight="1">
      <c r="A84" s="34" t="s">
        <v>13</v>
      </c>
      <c r="B84" s="9" t="s">
        <v>6</v>
      </c>
      <c r="C84" s="9" t="s">
        <v>12</v>
      </c>
      <c r="D84" s="9"/>
      <c r="E84" s="9"/>
      <c r="F84" s="11">
        <f>F85</f>
        <v>39</v>
      </c>
      <c r="G84" s="12">
        <f>G85</f>
        <v>0</v>
      </c>
      <c r="H84" s="12">
        <f>H85</f>
        <v>10</v>
      </c>
      <c r="I84" s="12">
        <f>I85</f>
        <v>10</v>
      </c>
    </row>
    <row r="85" spans="1:9" s="52" customFormat="1" ht="31.5">
      <c r="A85" s="39" t="s">
        <v>74</v>
      </c>
      <c r="B85" s="19" t="s">
        <v>6</v>
      </c>
      <c r="C85" s="19" t="s">
        <v>12</v>
      </c>
      <c r="D85" s="19" t="s">
        <v>116</v>
      </c>
      <c r="E85" s="19"/>
      <c r="F85" s="14">
        <f>F87</f>
        <v>39</v>
      </c>
      <c r="G85" s="15">
        <f aca="true" t="shared" si="3" ref="G85:I86">G86</f>
        <v>0</v>
      </c>
      <c r="H85" s="15">
        <f t="shared" si="3"/>
        <v>10</v>
      </c>
      <c r="I85" s="15">
        <f t="shared" si="3"/>
        <v>10</v>
      </c>
    </row>
    <row r="86" spans="1:9" s="52" customFormat="1" ht="18.75" customHeight="1">
      <c r="A86" s="45" t="s">
        <v>43</v>
      </c>
      <c r="B86" s="19" t="s">
        <v>6</v>
      </c>
      <c r="C86" s="19" t="s">
        <v>12</v>
      </c>
      <c r="D86" s="19" t="s">
        <v>117</v>
      </c>
      <c r="E86" s="19"/>
      <c r="F86" s="14">
        <f>F87</f>
        <v>39</v>
      </c>
      <c r="G86" s="15">
        <f t="shared" si="3"/>
        <v>0</v>
      </c>
      <c r="H86" s="15">
        <f t="shared" si="3"/>
        <v>10</v>
      </c>
      <c r="I86" s="15">
        <f t="shared" si="3"/>
        <v>10</v>
      </c>
    </row>
    <row r="87" spans="1:9" s="52" customFormat="1" ht="18" customHeight="1">
      <c r="A87" s="45" t="s">
        <v>222</v>
      </c>
      <c r="B87" s="19" t="s">
        <v>6</v>
      </c>
      <c r="C87" s="19" t="s">
        <v>12</v>
      </c>
      <c r="D87" s="19" t="s">
        <v>117</v>
      </c>
      <c r="E87" s="53" t="s">
        <v>221</v>
      </c>
      <c r="F87" s="14">
        <v>39</v>
      </c>
      <c r="G87" s="15">
        <f>10-10</f>
        <v>0</v>
      </c>
      <c r="H87" s="15">
        <v>10</v>
      </c>
      <c r="I87" s="15">
        <v>10</v>
      </c>
    </row>
    <row r="88" spans="1:9" s="52" customFormat="1" ht="15.75">
      <c r="A88" s="34" t="s">
        <v>15</v>
      </c>
      <c r="B88" s="9" t="s">
        <v>6</v>
      </c>
      <c r="C88" s="9" t="s">
        <v>53</v>
      </c>
      <c r="D88" s="9"/>
      <c r="E88" s="9"/>
      <c r="F88" s="11" t="e">
        <f>F97+F100+F103+#REF!+#REF!</f>
        <v>#REF!</v>
      </c>
      <c r="G88" s="12">
        <f>G89+G93+G97+G100+G103+G134+G106+G124+G115+G109+G112</f>
        <v>32739.419000000005</v>
      </c>
      <c r="H88" s="12">
        <f>H89+H93+H97+H100+H103+H134+H106+H124+H115+H109+H112</f>
        <v>32755.1</v>
      </c>
      <c r="I88" s="12">
        <f>I89+I93+I97+I100+I103+I134+I106+I124+I115+I109+I112</f>
        <v>32014.9</v>
      </c>
    </row>
    <row r="89" spans="1:9" s="3" customFormat="1" ht="78.75" hidden="1">
      <c r="A89" s="37" t="s">
        <v>305</v>
      </c>
      <c r="B89" s="19" t="s">
        <v>6</v>
      </c>
      <c r="C89" s="19" t="s">
        <v>53</v>
      </c>
      <c r="D89" s="19" t="s">
        <v>118</v>
      </c>
      <c r="E89" s="19"/>
      <c r="F89" s="14"/>
      <c r="G89" s="15">
        <f>G90</f>
        <v>0</v>
      </c>
      <c r="H89" s="15">
        <f>H90</f>
        <v>0</v>
      </c>
      <c r="I89" s="15">
        <f>I90</f>
        <v>0</v>
      </c>
    </row>
    <row r="90" spans="1:9" s="3" customFormat="1" ht="31.5" customHeight="1" hidden="1">
      <c r="A90" s="40" t="s">
        <v>76</v>
      </c>
      <c r="B90" s="19" t="s">
        <v>6</v>
      </c>
      <c r="C90" s="19" t="s">
        <v>53</v>
      </c>
      <c r="D90" s="19" t="s">
        <v>119</v>
      </c>
      <c r="E90" s="19"/>
      <c r="F90" s="14"/>
      <c r="G90" s="15">
        <f>G91+G92</f>
        <v>0</v>
      </c>
      <c r="H90" s="15">
        <f>H91+H92</f>
        <v>0</v>
      </c>
      <c r="I90" s="15">
        <f>I91+I92</f>
        <v>0</v>
      </c>
    </row>
    <row r="91" spans="1:9" s="3" customFormat="1" ht="31.5" customHeight="1" hidden="1">
      <c r="A91" s="45" t="s">
        <v>72</v>
      </c>
      <c r="B91" s="19" t="s">
        <v>6</v>
      </c>
      <c r="C91" s="19" t="s">
        <v>53</v>
      </c>
      <c r="D91" s="19" t="s">
        <v>119</v>
      </c>
      <c r="E91" s="19" t="s">
        <v>71</v>
      </c>
      <c r="F91" s="14"/>
      <c r="G91" s="15"/>
      <c r="H91" s="15"/>
      <c r="I91" s="15"/>
    </row>
    <row r="92" spans="1:9" s="3" customFormat="1" ht="31.5" customHeight="1" hidden="1">
      <c r="A92" s="67" t="s">
        <v>62</v>
      </c>
      <c r="B92" s="19" t="s">
        <v>6</v>
      </c>
      <c r="C92" s="19" t="s">
        <v>53</v>
      </c>
      <c r="D92" s="19" t="s">
        <v>119</v>
      </c>
      <c r="E92" s="19" t="s">
        <v>61</v>
      </c>
      <c r="F92" s="14"/>
      <c r="G92" s="15"/>
      <c r="H92" s="15"/>
      <c r="I92" s="15"/>
    </row>
    <row r="93" spans="1:9" s="3" customFormat="1" ht="60.75" customHeight="1">
      <c r="A93" s="71" t="s">
        <v>304</v>
      </c>
      <c r="B93" s="19" t="s">
        <v>6</v>
      </c>
      <c r="C93" s="19" t="s">
        <v>53</v>
      </c>
      <c r="D93" s="19" t="s">
        <v>120</v>
      </c>
      <c r="E93" s="19"/>
      <c r="F93" s="14"/>
      <c r="G93" s="15">
        <f>G94</f>
        <v>30</v>
      </c>
      <c r="H93" s="15">
        <f>H94</f>
        <v>0</v>
      </c>
      <c r="I93" s="15">
        <f>I94</f>
        <v>0</v>
      </c>
    </row>
    <row r="94" spans="1:9" s="3" customFormat="1" ht="31.5">
      <c r="A94" s="40" t="s">
        <v>183</v>
      </c>
      <c r="B94" s="19" t="s">
        <v>6</v>
      </c>
      <c r="C94" s="19" t="s">
        <v>53</v>
      </c>
      <c r="D94" s="19" t="s">
        <v>121</v>
      </c>
      <c r="E94" s="19"/>
      <c r="F94" s="14"/>
      <c r="G94" s="15">
        <f>G95+G96</f>
        <v>30</v>
      </c>
      <c r="H94" s="15">
        <f>H95+H96</f>
        <v>0</v>
      </c>
      <c r="I94" s="15">
        <f>I95+I96</f>
        <v>0</v>
      </c>
    </row>
    <row r="95" spans="1:9" s="3" customFormat="1" ht="47.25">
      <c r="A95" s="45" t="s">
        <v>72</v>
      </c>
      <c r="B95" s="19" t="s">
        <v>6</v>
      </c>
      <c r="C95" s="19" t="s">
        <v>53</v>
      </c>
      <c r="D95" s="19" t="s">
        <v>121</v>
      </c>
      <c r="E95" s="19" t="s">
        <v>71</v>
      </c>
      <c r="F95" s="21"/>
      <c r="G95" s="15">
        <f>40-10</f>
        <v>30</v>
      </c>
      <c r="H95" s="15"/>
      <c r="I95" s="15"/>
    </row>
    <row r="96" spans="1:9" s="3" customFormat="1" ht="31.5" hidden="1">
      <c r="A96" s="40" t="s">
        <v>62</v>
      </c>
      <c r="B96" s="19" t="s">
        <v>6</v>
      </c>
      <c r="C96" s="19" t="s">
        <v>53</v>
      </c>
      <c r="D96" s="19" t="s">
        <v>121</v>
      </c>
      <c r="E96" s="19" t="s">
        <v>61</v>
      </c>
      <c r="F96" s="21"/>
      <c r="G96" s="15"/>
      <c r="H96" s="15"/>
      <c r="I96" s="15"/>
    </row>
    <row r="97" spans="1:9" s="3" customFormat="1" ht="63">
      <c r="A97" s="72" t="s">
        <v>303</v>
      </c>
      <c r="B97" s="19" t="s">
        <v>6</v>
      </c>
      <c r="C97" s="19" t="s">
        <v>53</v>
      </c>
      <c r="D97" s="19" t="s">
        <v>122</v>
      </c>
      <c r="E97" s="19"/>
      <c r="F97" s="21"/>
      <c r="G97" s="15">
        <f aca="true" t="shared" si="4" ref="G97:I98">G98</f>
        <v>7.7</v>
      </c>
      <c r="H97" s="15">
        <f t="shared" si="4"/>
        <v>0</v>
      </c>
      <c r="I97" s="15">
        <f t="shared" si="4"/>
        <v>0</v>
      </c>
    </row>
    <row r="98" spans="1:9" s="3" customFormat="1" ht="31.5">
      <c r="A98" s="40" t="s">
        <v>77</v>
      </c>
      <c r="B98" s="23" t="s">
        <v>6</v>
      </c>
      <c r="C98" s="23" t="s">
        <v>53</v>
      </c>
      <c r="D98" s="23" t="s">
        <v>123</v>
      </c>
      <c r="E98" s="23"/>
      <c r="F98" s="21"/>
      <c r="G98" s="15">
        <f t="shared" si="4"/>
        <v>7.7</v>
      </c>
      <c r="H98" s="15">
        <f t="shared" si="4"/>
        <v>0</v>
      </c>
      <c r="I98" s="15">
        <f t="shared" si="4"/>
        <v>0</v>
      </c>
    </row>
    <row r="99" spans="1:9" s="3" customFormat="1" ht="47.25">
      <c r="A99" s="45" t="s">
        <v>72</v>
      </c>
      <c r="B99" s="19" t="s">
        <v>6</v>
      </c>
      <c r="C99" s="19" t="s">
        <v>53</v>
      </c>
      <c r="D99" s="19" t="s">
        <v>123</v>
      </c>
      <c r="E99" s="19" t="s">
        <v>71</v>
      </c>
      <c r="F99" s="21"/>
      <c r="G99" s="15">
        <f>10-2.3</f>
        <v>7.7</v>
      </c>
      <c r="H99" s="15"/>
      <c r="I99" s="15"/>
    </row>
    <row r="100" spans="1:9" s="3" customFormat="1" ht="94.5">
      <c r="A100" s="70" t="s">
        <v>302</v>
      </c>
      <c r="B100" s="19" t="s">
        <v>6</v>
      </c>
      <c r="C100" s="19" t="s">
        <v>53</v>
      </c>
      <c r="D100" s="19" t="s">
        <v>124</v>
      </c>
      <c r="E100" s="19"/>
      <c r="F100" s="21"/>
      <c r="G100" s="15">
        <f aca="true" t="shared" si="5" ref="G100:I101">G101</f>
        <v>10</v>
      </c>
      <c r="H100" s="15">
        <f t="shared" si="5"/>
        <v>15</v>
      </c>
      <c r="I100" s="15">
        <f t="shared" si="5"/>
        <v>20</v>
      </c>
    </row>
    <row r="101" spans="1:9" s="3" customFormat="1" ht="31.5">
      <c r="A101" s="40" t="s">
        <v>107</v>
      </c>
      <c r="B101" s="19" t="s">
        <v>6</v>
      </c>
      <c r="C101" s="19" t="s">
        <v>53</v>
      </c>
      <c r="D101" s="19" t="s">
        <v>125</v>
      </c>
      <c r="E101" s="19"/>
      <c r="F101" s="21"/>
      <c r="G101" s="15">
        <f t="shared" si="5"/>
        <v>10</v>
      </c>
      <c r="H101" s="15">
        <f t="shared" si="5"/>
        <v>15</v>
      </c>
      <c r="I101" s="15">
        <f t="shared" si="5"/>
        <v>20</v>
      </c>
    </row>
    <row r="102" spans="1:9" s="3" customFormat="1" ht="51" customHeight="1">
      <c r="A102" s="45" t="s">
        <v>72</v>
      </c>
      <c r="B102" s="19" t="s">
        <v>6</v>
      </c>
      <c r="C102" s="19" t="s">
        <v>53</v>
      </c>
      <c r="D102" s="19" t="s">
        <v>125</v>
      </c>
      <c r="E102" s="19" t="s">
        <v>71</v>
      </c>
      <c r="F102" s="21"/>
      <c r="G102" s="15">
        <v>10</v>
      </c>
      <c r="H102" s="15">
        <v>15</v>
      </c>
      <c r="I102" s="15">
        <v>20</v>
      </c>
    </row>
    <row r="103" spans="1:9" s="3" customFormat="1" ht="63">
      <c r="A103" s="73" t="s">
        <v>301</v>
      </c>
      <c r="B103" s="19" t="s">
        <v>6</v>
      </c>
      <c r="C103" s="19" t="s">
        <v>53</v>
      </c>
      <c r="D103" s="19" t="s">
        <v>126</v>
      </c>
      <c r="E103" s="19"/>
      <c r="F103" s="21"/>
      <c r="G103" s="15">
        <f aca="true" t="shared" si="6" ref="G103:I104">G104</f>
        <v>15</v>
      </c>
      <c r="H103" s="15">
        <f t="shared" si="6"/>
        <v>0</v>
      </c>
      <c r="I103" s="15">
        <f t="shared" si="6"/>
        <v>0</v>
      </c>
    </row>
    <row r="104" spans="1:9" s="3" customFormat="1" ht="31.5">
      <c r="A104" s="40" t="s">
        <v>78</v>
      </c>
      <c r="B104" s="19" t="s">
        <v>6</v>
      </c>
      <c r="C104" s="19" t="s">
        <v>53</v>
      </c>
      <c r="D104" s="19" t="s">
        <v>127</v>
      </c>
      <c r="E104" s="19"/>
      <c r="F104" s="21"/>
      <c r="G104" s="15">
        <f t="shared" si="6"/>
        <v>15</v>
      </c>
      <c r="H104" s="15">
        <f t="shared" si="6"/>
        <v>0</v>
      </c>
      <c r="I104" s="15">
        <f t="shared" si="6"/>
        <v>0</v>
      </c>
    </row>
    <row r="105" spans="1:9" s="3" customFormat="1" ht="47.25">
      <c r="A105" s="45" t="s">
        <v>72</v>
      </c>
      <c r="B105" s="19" t="s">
        <v>6</v>
      </c>
      <c r="C105" s="19" t="s">
        <v>53</v>
      </c>
      <c r="D105" s="19" t="s">
        <v>127</v>
      </c>
      <c r="E105" s="19" t="s">
        <v>71</v>
      </c>
      <c r="F105" s="21"/>
      <c r="G105" s="15">
        <v>15</v>
      </c>
      <c r="H105" s="15"/>
      <c r="I105" s="15"/>
    </row>
    <row r="106" spans="1:9" s="3" customFormat="1" ht="63">
      <c r="A106" s="73" t="s">
        <v>300</v>
      </c>
      <c r="B106" s="19" t="s">
        <v>6</v>
      </c>
      <c r="C106" s="19" t="s">
        <v>53</v>
      </c>
      <c r="D106" s="19" t="s">
        <v>128</v>
      </c>
      <c r="E106" s="19"/>
      <c r="F106" s="21"/>
      <c r="G106" s="15">
        <f aca="true" t="shared" si="7" ref="G106:I107">G107</f>
        <v>2</v>
      </c>
      <c r="H106" s="15">
        <f t="shared" si="7"/>
        <v>0</v>
      </c>
      <c r="I106" s="15">
        <f t="shared" si="7"/>
        <v>0</v>
      </c>
    </row>
    <row r="107" spans="1:9" s="3" customFormat="1" ht="31.5">
      <c r="A107" s="51" t="s">
        <v>106</v>
      </c>
      <c r="B107" s="19" t="s">
        <v>6</v>
      </c>
      <c r="C107" s="19" t="s">
        <v>53</v>
      </c>
      <c r="D107" s="19" t="s">
        <v>129</v>
      </c>
      <c r="E107" s="19"/>
      <c r="F107" s="21"/>
      <c r="G107" s="15">
        <f t="shared" si="7"/>
        <v>2</v>
      </c>
      <c r="H107" s="15">
        <f t="shared" si="7"/>
        <v>0</v>
      </c>
      <c r="I107" s="15">
        <f t="shared" si="7"/>
        <v>0</v>
      </c>
    </row>
    <row r="108" spans="1:9" s="3" customFormat="1" ht="47.25">
      <c r="A108" s="45" t="s">
        <v>72</v>
      </c>
      <c r="B108" s="19" t="s">
        <v>6</v>
      </c>
      <c r="C108" s="19" t="s">
        <v>53</v>
      </c>
      <c r="D108" s="19" t="s">
        <v>129</v>
      </c>
      <c r="E108" s="19" t="s">
        <v>71</v>
      </c>
      <c r="F108" s="21"/>
      <c r="G108" s="15">
        <v>2</v>
      </c>
      <c r="H108" s="15"/>
      <c r="I108" s="15"/>
    </row>
    <row r="109" spans="1:9" s="3" customFormat="1" ht="63">
      <c r="A109" s="91" t="s">
        <v>313</v>
      </c>
      <c r="B109" s="19" t="s">
        <v>6</v>
      </c>
      <c r="C109" s="19" t="s">
        <v>53</v>
      </c>
      <c r="D109" s="19" t="s">
        <v>311</v>
      </c>
      <c r="E109" s="19"/>
      <c r="F109" s="21"/>
      <c r="G109" s="15">
        <f aca="true" t="shared" si="8" ref="G109:I110">G110</f>
        <v>5</v>
      </c>
      <c r="H109" s="15">
        <f t="shared" si="8"/>
        <v>18</v>
      </c>
      <c r="I109" s="15">
        <f t="shared" si="8"/>
        <v>30</v>
      </c>
    </row>
    <row r="110" spans="1:9" s="3" customFormat="1" ht="31.5">
      <c r="A110" s="92" t="s">
        <v>183</v>
      </c>
      <c r="B110" s="19" t="s">
        <v>6</v>
      </c>
      <c r="C110" s="19" t="s">
        <v>53</v>
      </c>
      <c r="D110" s="19" t="s">
        <v>312</v>
      </c>
      <c r="E110" s="19"/>
      <c r="F110" s="21"/>
      <c r="G110" s="15">
        <f t="shared" si="8"/>
        <v>5</v>
      </c>
      <c r="H110" s="15">
        <f t="shared" si="8"/>
        <v>18</v>
      </c>
      <c r="I110" s="15">
        <f t="shared" si="8"/>
        <v>30</v>
      </c>
    </row>
    <row r="111" spans="1:9" s="3" customFormat="1" ht="47.25">
      <c r="A111" s="32" t="s">
        <v>72</v>
      </c>
      <c r="B111" s="19" t="s">
        <v>6</v>
      </c>
      <c r="C111" s="19" t="s">
        <v>53</v>
      </c>
      <c r="D111" s="19" t="s">
        <v>312</v>
      </c>
      <c r="E111" s="19" t="s">
        <v>71</v>
      </c>
      <c r="F111" s="21"/>
      <c r="G111" s="15">
        <v>5</v>
      </c>
      <c r="H111" s="15">
        <v>18</v>
      </c>
      <c r="I111" s="15">
        <v>30</v>
      </c>
    </row>
    <row r="112" spans="1:9" s="3" customFormat="1" ht="63">
      <c r="A112" s="93" t="s">
        <v>316</v>
      </c>
      <c r="B112" s="23" t="s">
        <v>6</v>
      </c>
      <c r="C112" s="23" t="s">
        <v>53</v>
      </c>
      <c r="D112" s="23" t="s">
        <v>314</v>
      </c>
      <c r="E112" s="23"/>
      <c r="F112" s="21"/>
      <c r="G112" s="15">
        <f aca="true" t="shared" si="9" ref="G112:I113">G113</f>
        <v>230.2</v>
      </c>
      <c r="H112" s="15">
        <f t="shared" si="9"/>
        <v>130</v>
      </c>
      <c r="I112" s="15">
        <f t="shared" si="9"/>
        <v>130</v>
      </c>
    </row>
    <row r="113" spans="1:9" s="3" customFormat="1" ht="47.25">
      <c r="A113" s="78" t="s">
        <v>317</v>
      </c>
      <c r="B113" s="23" t="s">
        <v>6</v>
      </c>
      <c r="C113" s="23" t="s">
        <v>53</v>
      </c>
      <c r="D113" s="23" t="s">
        <v>315</v>
      </c>
      <c r="E113" s="23"/>
      <c r="F113" s="21"/>
      <c r="G113" s="15">
        <f t="shared" si="9"/>
        <v>230.2</v>
      </c>
      <c r="H113" s="15">
        <f t="shared" si="9"/>
        <v>130</v>
      </c>
      <c r="I113" s="15">
        <f t="shared" si="9"/>
        <v>130</v>
      </c>
    </row>
    <row r="114" spans="1:9" s="3" customFormat="1" ht="47.25">
      <c r="A114" s="45" t="s">
        <v>72</v>
      </c>
      <c r="B114" s="23" t="s">
        <v>6</v>
      </c>
      <c r="C114" s="23" t="s">
        <v>53</v>
      </c>
      <c r="D114" s="23" t="s">
        <v>315</v>
      </c>
      <c r="E114" s="23" t="s">
        <v>71</v>
      </c>
      <c r="F114" s="21"/>
      <c r="G114" s="15">
        <f>250-11.8-8</f>
        <v>230.2</v>
      </c>
      <c r="H114" s="15">
        <v>130</v>
      </c>
      <c r="I114" s="15">
        <v>130</v>
      </c>
    </row>
    <row r="115" spans="1:9" s="52" customFormat="1" ht="47.25" customHeight="1">
      <c r="A115" s="74" t="s">
        <v>299</v>
      </c>
      <c r="B115" s="19" t="s">
        <v>6</v>
      </c>
      <c r="C115" s="19" t="s">
        <v>53</v>
      </c>
      <c r="D115" s="23" t="s">
        <v>161</v>
      </c>
      <c r="E115" s="23"/>
      <c r="F115" s="11"/>
      <c r="G115" s="26">
        <f>G116</f>
        <v>6834.400000000001</v>
      </c>
      <c r="H115" s="26">
        <f>H116</f>
        <v>6895.6</v>
      </c>
      <c r="I115" s="26">
        <f>I116</f>
        <v>6916.6</v>
      </c>
    </row>
    <row r="116" spans="1:9" s="52" customFormat="1" ht="31.5">
      <c r="A116" s="45" t="s">
        <v>210</v>
      </c>
      <c r="B116" s="19" t="s">
        <v>6</v>
      </c>
      <c r="C116" s="19" t="s">
        <v>53</v>
      </c>
      <c r="D116" s="23" t="s">
        <v>162</v>
      </c>
      <c r="E116" s="23"/>
      <c r="F116" s="11"/>
      <c r="G116" s="26">
        <f>G117+G118+G120+G121+G122+G119+G123</f>
        <v>6834.400000000001</v>
      </c>
      <c r="H116" s="26">
        <f>H117+H118+H120+H121+H122+H119+H123</f>
        <v>6895.6</v>
      </c>
      <c r="I116" s="26">
        <f>I117+I118+I120+I121+I122+I119+I123</f>
        <v>6916.6</v>
      </c>
    </row>
    <row r="117" spans="1:9" s="52" customFormat="1" ht="15.75">
      <c r="A117" s="78" t="s">
        <v>184</v>
      </c>
      <c r="B117" s="19" t="s">
        <v>6</v>
      </c>
      <c r="C117" s="19" t="s">
        <v>53</v>
      </c>
      <c r="D117" s="23" t="s">
        <v>162</v>
      </c>
      <c r="E117" s="23" t="s">
        <v>82</v>
      </c>
      <c r="F117" s="11"/>
      <c r="G117" s="26">
        <f>4609.6+210.679</f>
        <v>4820.279</v>
      </c>
      <c r="H117" s="26">
        <v>4809.6</v>
      </c>
      <c r="I117" s="26">
        <v>4809.6</v>
      </c>
    </row>
    <row r="118" spans="1:9" s="52" customFormat="1" ht="47.25">
      <c r="A118" s="78" t="s">
        <v>79</v>
      </c>
      <c r="B118" s="23" t="s">
        <v>6</v>
      </c>
      <c r="C118" s="23" t="s">
        <v>53</v>
      </c>
      <c r="D118" s="23" t="s">
        <v>162</v>
      </c>
      <c r="E118" s="23" t="s">
        <v>63</v>
      </c>
      <c r="F118" s="11"/>
      <c r="G118" s="26">
        <f>4-0.848-2.722</f>
        <v>0.43000000000000016</v>
      </c>
      <c r="H118" s="26">
        <v>3</v>
      </c>
      <c r="I118" s="26">
        <v>4</v>
      </c>
    </row>
    <row r="119" spans="1:9" s="52" customFormat="1" ht="63">
      <c r="A119" s="39" t="s">
        <v>185</v>
      </c>
      <c r="B119" s="19" t="s">
        <v>6</v>
      </c>
      <c r="C119" s="19" t="s">
        <v>53</v>
      </c>
      <c r="D119" s="23" t="s">
        <v>162</v>
      </c>
      <c r="E119" s="23" t="s">
        <v>146</v>
      </c>
      <c r="F119" s="11"/>
      <c r="G119" s="26">
        <f>1392.5-13.775-3.504-0.005-7.291</f>
        <v>1367.925</v>
      </c>
      <c r="H119" s="26">
        <v>1452.5</v>
      </c>
      <c r="I119" s="26">
        <v>1452.5</v>
      </c>
    </row>
    <row r="120" spans="1:9" s="52" customFormat="1" ht="47.25">
      <c r="A120" s="78" t="s">
        <v>72</v>
      </c>
      <c r="B120" s="19" t="s">
        <v>6</v>
      </c>
      <c r="C120" s="19" t="s">
        <v>53</v>
      </c>
      <c r="D120" s="23" t="s">
        <v>162</v>
      </c>
      <c r="E120" s="23" t="s">
        <v>71</v>
      </c>
      <c r="F120" s="11"/>
      <c r="G120" s="26">
        <f>700+117.8-197.498</f>
        <v>620.3019999999999</v>
      </c>
      <c r="H120" s="26">
        <v>630</v>
      </c>
      <c r="I120" s="26">
        <v>650</v>
      </c>
    </row>
    <row r="121" spans="1:9" s="52" customFormat="1" ht="31.5">
      <c r="A121" s="79" t="s">
        <v>73</v>
      </c>
      <c r="B121" s="19" t="s">
        <v>6</v>
      </c>
      <c r="C121" s="19" t="s">
        <v>53</v>
      </c>
      <c r="D121" s="23" t="s">
        <v>162</v>
      </c>
      <c r="E121" s="24" t="s">
        <v>75</v>
      </c>
      <c r="F121" s="11"/>
      <c r="G121" s="26"/>
      <c r="H121" s="26">
        <v>0.5</v>
      </c>
      <c r="I121" s="26">
        <v>0.5</v>
      </c>
    </row>
    <row r="122" spans="1:9" s="52" customFormat="1" ht="31.5" hidden="1">
      <c r="A122" s="79" t="s">
        <v>80</v>
      </c>
      <c r="B122" s="19" t="s">
        <v>6</v>
      </c>
      <c r="C122" s="19" t="s">
        <v>53</v>
      </c>
      <c r="D122" s="23" t="s">
        <v>162</v>
      </c>
      <c r="E122" s="24" t="s">
        <v>83</v>
      </c>
      <c r="F122" s="11"/>
      <c r="G122" s="26"/>
      <c r="H122" s="26"/>
      <c r="I122" s="26"/>
    </row>
    <row r="123" spans="1:9" s="52" customFormat="1" ht="15.75">
      <c r="A123" s="75" t="s">
        <v>204</v>
      </c>
      <c r="B123" s="19" t="s">
        <v>6</v>
      </c>
      <c r="C123" s="19" t="s">
        <v>53</v>
      </c>
      <c r="D123" s="23" t="s">
        <v>162</v>
      </c>
      <c r="E123" s="24" t="s">
        <v>202</v>
      </c>
      <c r="F123" s="11"/>
      <c r="G123" s="26">
        <f>0.041+13.775+3.504+0.005+0.848+7.291</f>
        <v>25.464</v>
      </c>
      <c r="H123" s="26"/>
      <c r="I123" s="26"/>
    </row>
    <row r="124" spans="1:9" s="3" customFormat="1" ht="93.75" customHeight="1">
      <c r="A124" s="74" t="s">
        <v>297</v>
      </c>
      <c r="B124" s="19" t="s">
        <v>6</v>
      </c>
      <c r="C124" s="19" t="s">
        <v>53</v>
      </c>
      <c r="D124" s="19" t="s">
        <v>130</v>
      </c>
      <c r="E124" s="19"/>
      <c r="F124" s="21"/>
      <c r="G124" s="15">
        <f>G125</f>
        <v>13645.67</v>
      </c>
      <c r="H124" s="15">
        <f>H125</f>
        <v>11726.9</v>
      </c>
      <c r="I124" s="15">
        <f>I125</f>
        <v>11836.9</v>
      </c>
    </row>
    <row r="125" spans="1:9" s="3" customFormat="1" ht="31.5">
      <c r="A125" s="32" t="s">
        <v>211</v>
      </c>
      <c r="B125" s="19" t="s">
        <v>6</v>
      </c>
      <c r="C125" s="19" t="s">
        <v>53</v>
      </c>
      <c r="D125" s="19" t="s">
        <v>188</v>
      </c>
      <c r="E125" s="19"/>
      <c r="F125" s="21"/>
      <c r="G125" s="15">
        <f>G126+G127+G128+G130+G131+G132+G133+G129</f>
        <v>13645.67</v>
      </c>
      <c r="H125" s="15">
        <f>H126+H127+H128+H130+H131+H132+H133+H129</f>
        <v>11726.9</v>
      </c>
      <c r="I125" s="15">
        <f>I126+I127+I128+I130+I131+I132+I133+I129</f>
        <v>11836.9</v>
      </c>
    </row>
    <row r="126" spans="1:9" s="3" customFormat="1" ht="15.75">
      <c r="A126" s="64" t="s">
        <v>184</v>
      </c>
      <c r="B126" s="19" t="s">
        <v>6</v>
      </c>
      <c r="C126" s="19" t="s">
        <v>53</v>
      </c>
      <c r="D126" s="19" t="s">
        <v>188</v>
      </c>
      <c r="E126" s="19" t="s">
        <v>82</v>
      </c>
      <c r="F126" s="21"/>
      <c r="G126" s="15">
        <f>5761.4+40</f>
        <v>5801.4</v>
      </c>
      <c r="H126" s="15">
        <v>6011.4</v>
      </c>
      <c r="I126" s="15">
        <v>6011.4</v>
      </c>
    </row>
    <row r="127" spans="1:9" s="3" customFormat="1" ht="47.25">
      <c r="A127" s="64" t="s">
        <v>79</v>
      </c>
      <c r="B127" s="19" t="s">
        <v>6</v>
      </c>
      <c r="C127" s="19" t="s">
        <v>53</v>
      </c>
      <c r="D127" s="19" t="s">
        <v>188</v>
      </c>
      <c r="E127" s="19" t="s">
        <v>63</v>
      </c>
      <c r="F127" s="21"/>
      <c r="G127" s="15">
        <f>0.536</f>
        <v>0.536</v>
      </c>
      <c r="H127" s="15"/>
      <c r="I127" s="15"/>
    </row>
    <row r="128" spans="1:9" s="3" customFormat="1" ht="63">
      <c r="A128" s="39" t="s">
        <v>185</v>
      </c>
      <c r="B128" s="19" t="s">
        <v>6</v>
      </c>
      <c r="C128" s="19" t="s">
        <v>53</v>
      </c>
      <c r="D128" s="19" t="s">
        <v>188</v>
      </c>
      <c r="E128" s="19" t="s">
        <v>146</v>
      </c>
      <c r="F128" s="21"/>
      <c r="G128" s="15">
        <f>1740.5-2.819+12</f>
        <v>1749.681</v>
      </c>
      <c r="H128" s="15">
        <v>1815.5</v>
      </c>
      <c r="I128" s="15">
        <v>1815.5</v>
      </c>
    </row>
    <row r="129" spans="1:9" s="3" customFormat="1" ht="47.25" hidden="1">
      <c r="A129" s="39" t="s">
        <v>100</v>
      </c>
      <c r="B129" s="19" t="s">
        <v>6</v>
      </c>
      <c r="C129" s="19" t="s">
        <v>53</v>
      </c>
      <c r="D129" s="19" t="s">
        <v>188</v>
      </c>
      <c r="E129" s="19" t="s">
        <v>98</v>
      </c>
      <c r="F129" s="21"/>
      <c r="G129" s="15"/>
      <c r="H129" s="15"/>
      <c r="I129" s="15"/>
    </row>
    <row r="130" spans="1:9" s="3" customFormat="1" ht="47.25">
      <c r="A130" s="64" t="s">
        <v>72</v>
      </c>
      <c r="B130" s="19" t="s">
        <v>6</v>
      </c>
      <c r="C130" s="19" t="s">
        <v>53</v>
      </c>
      <c r="D130" s="19" t="s">
        <v>188</v>
      </c>
      <c r="E130" s="53" t="s">
        <v>71</v>
      </c>
      <c r="F130" s="21"/>
      <c r="G130" s="15">
        <f>4800+158.4+91.36+93.684+91.673+16.067-2.116-89.226+164.603+20-92.75-32.607+19.175+705.085</f>
        <v>5943.348</v>
      </c>
      <c r="H130" s="15">
        <v>3800</v>
      </c>
      <c r="I130" s="15">
        <v>3900</v>
      </c>
    </row>
    <row r="131" spans="1:9" s="3" customFormat="1" ht="31.5">
      <c r="A131" s="75" t="s">
        <v>73</v>
      </c>
      <c r="B131" s="19" t="s">
        <v>6</v>
      </c>
      <c r="C131" s="19" t="s">
        <v>53</v>
      </c>
      <c r="D131" s="19" t="s">
        <v>188</v>
      </c>
      <c r="E131" s="53" t="s">
        <v>75</v>
      </c>
      <c r="F131" s="21"/>
      <c r="G131" s="15">
        <f>33-2+46.786</f>
        <v>77.786</v>
      </c>
      <c r="H131" s="15">
        <v>100</v>
      </c>
      <c r="I131" s="15">
        <v>110</v>
      </c>
    </row>
    <row r="132" spans="1:9" s="3" customFormat="1" ht="31.5">
      <c r="A132" s="75" t="s">
        <v>80</v>
      </c>
      <c r="B132" s="19" t="s">
        <v>6</v>
      </c>
      <c r="C132" s="19" t="s">
        <v>53</v>
      </c>
      <c r="D132" s="19" t="s">
        <v>188</v>
      </c>
      <c r="E132" s="53" t="s">
        <v>83</v>
      </c>
      <c r="F132" s="21"/>
      <c r="G132" s="15">
        <f>0.85+7.5+2</f>
        <v>10.35</v>
      </c>
      <c r="H132" s="15"/>
      <c r="I132" s="15"/>
    </row>
    <row r="133" spans="1:9" s="3" customFormat="1" ht="15.75">
      <c r="A133" s="75" t="s">
        <v>204</v>
      </c>
      <c r="B133" s="19" t="s">
        <v>6</v>
      </c>
      <c r="C133" s="19" t="s">
        <v>53</v>
      </c>
      <c r="D133" s="19" t="s">
        <v>188</v>
      </c>
      <c r="E133" s="53" t="s">
        <v>202</v>
      </c>
      <c r="F133" s="21"/>
      <c r="G133" s="15">
        <f>2.819+33.869+0.265+0.387+11.589+0.2+13.44</f>
        <v>62.569</v>
      </c>
      <c r="H133" s="15"/>
      <c r="I133" s="15"/>
    </row>
    <row r="134" spans="1:9" s="3" customFormat="1" ht="31.5">
      <c r="A134" s="39" t="s">
        <v>74</v>
      </c>
      <c r="B134" s="19" t="s">
        <v>6</v>
      </c>
      <c r="C134" s="19" t="s">
        <v>53</v>
      </c>
      <c r="D134" s="19" t="s">
        <v>116</v>
      </c>
      <c r="E134" s="53"/>
      <c r="F134" s="21"/>
      <c r="G134" s="15">
        <f>G135+G144+G150+G139+G146+G137+G148</f>
        <v>11959.449</v>
      </c>
      <c r="H134" s="15">
        <f>H135+H144+H150+H139+H146+H137+H148</f>
        <v>13969.6</v>
      </c>
      <c r="I134" s="15">
        <f>I135+I144+I150+I139+I146+I137+I148</f>
        <v>13081.4</v>
      </c>
    </row>
    <row r="135" spans="1:9" s="3" customFormat="1" ht="64.5" customHeight="1">
      <c r="A135" s="63" t="s">
        <v>16</v>
      </c>
      <c r="B135" s="19" t="s">
        <v>6</v>
      </c>
      <c r="C135" s="19" t="s">
        <v>53</v>
      </c>
      <c r="D135" s="19" t="s">
        <v>131</v>
      </c>
      <c r="E135" s="19"/>
      <c r="F135" s="21"/>
      <c r="G135" s="15">
        <f>G136</f>
        <v>162.109</v>
      </c>
      <c r="H135" s="15">
        <f>H136</f>
        <v>70</v>
      </c>
      <c r="I135" s="15">
        <f>I136</f>
        <v>0</v>
      </c>
    </row>
    <row r="136" spans="1:9" s="3" customFormat="1" ht="47.25">
      <c r="A136" s="45" t="s">
        <v>72</v>
      </c>
      <c r="B136" s="19" t="s">
        <v>6</v>
      </c>
      <c r="C136" s="19" t="s">
        <v>53</v>
      </c>
      <c r="D136" s="19" t="s">
        <v>131</v>
      </c>
      <c r="E136" s="19" t="s">
        <v>71</v>
      </c>
      <c r="F136" s="21"/>
      <c r="G136" s="15">
        <f>30+100.809+22+7+2.3</f>
        <v>162.109</v>
      </c>
      <c r="H136" s="15">
        <v>70</v>
      </c>
      <c r="I136" s="15"/>
    </row>
    <row r="137" spans="1:9" s="3" customFormat="1" ht="35.25" customHeight="1" hidden="1">
      <c r="A137" s="62" t="s">
        <v>189</v>
      </c>
      <c r="B137" s="19" t="s">
        <v>6</v>
      </c>
      <c r="C137" s="19" t="s">
        <v>53</v>
      </c>
      <c r="D137" s="19" t="s">
        <v>191</v>
      </c>
      <c r="E137" s="19"/>
      <c r="F137" s="21"/>
      <c r="G137" s="15">
        <f>G138</f>
        <v>0</v>
      </c>
      <c r="H137" s="15">
        <f>H138</f>
        <v>0</v>
      </c>
      <c r="I137" s="15">
        <f>I138</f>
        <v>0</v>
      </c>
    </row>
    <row r="138" spans="1:9" s="3" customFormat="1" ht="47.25" hidden="1">
      <c r="A138" s="45" t="s">
        <v>72</v>
      </c>
      <c r="B138" s="19" t="s">
        <v>6</v>
      </c>
      <c r="C138" s="19" t="s">
        <v>53</v>
      </c>
      <c r="D138" s="19" t="s">
        <v>191</v>
      </c>
      <c r="E138" s="19" t="s">
        <v>71</v>
      </c>
      <c r="F138" s="21"/>
      <c r="G138" s="15"/>
      <c r="H138" s="15"/>
      <c r="I138" s="15"/>
    </row>
    <row r="139" spans="1:9" s="3" customFormat="1" ht="110.25">
      <c r="A139" s="62" t="s">
        <v>255</v>
      </c>
      <c r="B139" s="19" t="s">
        <v>6</v>
      </c>
      <c r="C139" s="19" t="s">
        <v>53</v>
      </c>
      <c r="D139" s="19" t="s">
        <v>132</v>
      </c>
      <c r="E139" s="19"/>
      <c r="F139" s="21"/>
      <c r="G139" s="15">
        <f>G140+G141+G143+G142</f>
        <v>1851.2</v>
      </c>
      <c r="H139" s="15">
        <f>H140+H141+H143+H142</f>
        <v>1861.6000000000001</v>
      </c>
      <c r="I139" s="15">
        <f>I140+I141+I143+I142</f>
        <v>1043.4</v>
      </c>
    </row>
    <row r="140" spans="1:9" s="3" customFormat="1" ht="31.5">
      <c r="A140" s="40" t="s">
        <v>142</v>
      </c>
      <c r="B140" s="19" t="s">
        <v>6</v>
      </c>
      <c r="C140" s="19" t="s">
        <v>53</v>
      </c>
      <c r="D140" s="19" t="s">
        <v>132</v>
      </c>
      <c r="E140" s="19" t="s">
        <v>66</v>
      </c>
      <c r="F140" s="21"/>
      <c r="G140" s="15">
        <v>1262.7</v>
      </c>
      <c r="H140" s="15">
        <v>1262.7</v>
      </c>
      <c r="I140" s="15">
        <v>657.7</v>
      </c>
    </row>
    <row r="141" spans="1:9" s="3" customFormat="1" ht="48" customHeight="1" hidden="1">
      <c r="A141" s="40" t="s">
        <v>68</v>
      </c>
      <c r="B141" s="19" t="s">
        <v>6</v>
      </c>
      <c r="C141" s="19" t="s">
        <v>53</v>
      </c>
      <c r="D141" s="19" t="s">
        <v>132</v>
      </c>
      <c r="E141" s="19" t="s">
        <v>70</v>
      </c>
      <c r="F141" s="21"/>
      <c r="G141" s="15"/>
      <c r="H141" s="15"/>
      <c r="I141" s="15"/>
    </row>
    <row r="142" spans="1:9" s="3" customFormat="1" ht="48" customHeight="1">
      <c r="A142" s="40" t="s">
        <v>144</v>
      </c>
      <c r="B142" s="19" t="s">
        <v>6</v>
      </c>
      <c r="C142" s="19" t="s">
        <v>53</v>
      </c>
      <c r="D142" s="19" t="s">
        <v>132</v>
      </c>
      <c r="E142" s="19" t="s">
        <v>143</v>
      </c>
      <c r="F142" s="21"/>
      <c r="G142" s="15">
        <v>382.7</v>
      </c>
      <c r="H142" s="15">
        <v>382.7</v>
      </c>
      <c r="I142" s="15">
        <v>198.6</v>
      </c>
    </row>
    <row r="143" spans="1:9" s="3" customFormat="1" ht="47.25">
      <c r="A143" s="45" t="s">
        <v>72</v>
      </c>
      <c r="B143" s="19" t="s">
        <v>6</v>
      </c>
      <c r="C143" s="19" t="s">
        <v>53</v>
      </c>
      <c r="D143" s="19" t="s">
        <v>132</v>
      </c>
      <c r="E143" s="53" t="s">
        <v>71</v>
      </c>
      <c r="F143" s="21"/>
      <c r="G143" s="15">
        <v>205.8</v>
      </c>
      <c r="H143" s="15">
        <v>216.2</v>
      </c>
      <c r="I143" s="15">
        <v>187.1</v>
      </c>
    </row>
    <row r="144" spans="1:9" s="3" customFormat="1" ht="96.75" customHeight="1">
      <c r="A144" s="45" t="s">
        <v>195</v>
      </c>
      <c r="B144" s="19" t="s">
        <v>6</v>
      </c>
      <c r="C144" s="19" t="s">
        <v>53</v>
      </c>
      <c r="D144" s="19" t="s">
        <v>194</v>
      </c>
      <c r="E144" s="19"/>
      <c r="F144" s="21"/>
      <c r="G144" s="15">
        <f>G145</f>
        <v>6.6</v>
      </c>
      <c r="H144" s="15">
        <f>H145</f>
        <v>0</v>
      </c>
      <c r="I144" s="15">
        <f>I145</f>
        <v>0</v>
      </c>
    </row>
    <row r="145" spans="1:9" s="3" customFormat="1" ht="47.25">
      <c r="A145" s="45" t="s">
        <v>72</v>
      </c>
      <c r="B145" s="19" t="s">
        <v>6</v>
      </c>
      <c r="C145" s="19" t="s">
        <v>53</v>
      </c>
      <c r="D145" s="19" t="s">
        <v>194</v>
      </c>
      <c r="E145" s="19" t="s">
        <v>71</v>
      </c>
      <c r="F145" s="21"/>
      <c r="G145" s="15">
        <v>6.6</v>
      </c>
      <c r="H145" s="15"/>
      <c r="I145" s="15"/>
    </row>
    <row r="146" spans="1:9" s="3" customFormat="1" ht="50.25" customHeight="1">
      <c r="A146" s="45" t="s">
        <v>238</v>
      </c>
      <c r="B146" s="23" t="s">
        <v>6</v>
      </c>
      <c r="C146" s="23" t="s">
        <v>53</v>
      </c>
      <c r="D146" s="23" t="s">
        <v>186</v>
      </c>
      <c r="E146" s="23"/>
      <c r="F146" s="21"/>
      <c r="G146" s="15">
        <f>G147</f>
        <v>0</v>
      </c>
      <c r="H146" s="15">
        <f>H147</f>
        <v>0</v>
      </c>
      <c r="I146" s="15">
        <f>I147</f>
        <v>0</v>
      </c>
    </row>
    <row r="147" spans="1:9" s="3" customFormat="1" ht="15.75">
      <c r="A147" s="45" t="s">
        <v>58</v>
      </c>
      <c r="B147" s="23" t="s">
        <v>6</v>
      </c>
      <c r="C147" s="23" t="s">
        <v>53</v>
      </c>
      <c r="D147" s="23" t="s">
        <v>186</v>
      </c>
      <c r="E147" s="23" t="s">
        <v>90</v>
      </c>
      <c r="F147" s="21"/>
      <c r="G147" s="15"/>
      <c r="H147" s="15"/>
      <c r="I147" s="15"/>
    </row>
    <row r="148" spans="1:9" s="3" customFormat="1" ht="47.25">
      <c r="A148" s="45" t="s">
        <v>256</v>
      </c>
      <c r="B148" s="19" t="s">
        <v>6</v>
      </c>
      <c r="C148" s="19" t="s">
        <v>53</v>
      </c>
      <c r="D148" s="19" t="s">
        <v>318</v>
      </c>
      <c r="E148" s="19"/>
      <c r="F148" s="21"/>
      <c r="G148" s="15">
        <f>G149</f>
        <v>9809</v>
      </c>
      <c r="H148" s="15">
        <f>H149</f>
        <v>12038</v>
      </c>
      <c r="I148" s="15">
        <f>I149</f>
        <v>12038</v>
      </c>
    </row>
    <row r="149" spans="1:9" s="3" customFormat="1" ht="15.75">
      <c r="A149" s="45" t="s">
        <v>58</v>
      </c>
      <c r="B149" s="19" t="s">
        <v>6</v>
      </c>
      <c r="C149" s="19" t="s">
        <v>53</v>
      </c>
      <c r="D149" s="19" t="s">
        <v>318</v>
      </c>
      <c r="E149" s="19" t="s">
        <v>90</v>
      </c>
      <c r="F149" s="21"/>
      <c r="G149" s="15">
        <f>12038-2229</f>
        <v>9809</v>
      </c>
      <c r="H149" s="15">
        <v>12038</v>
      </c>
      <c r="I149" s="15">
        <v>12038</v>
      </c>
    </row>
    <row r="150" spans="1:9" s="3" customFormat="1" ht="47.25">
      <c r="A150" s="45" t="s">
        <v>108</v>
      </c>
      <c r="B150" s="19" t="s">
        <v>6</v>
      </c>
      <c r="C150" s="19" t="s">
        <v>53</v>
      </c>
      <c r="D150" s="19" t="s">
        <v>133</v>
      </c>
      <c r="E150" s="19"/>
      <c r="F150" s="21"/>
      <c r="G150" s="15">
        <f>G151+G153+G152</f>
        <v>130.54000000000002</v>
      </c>
      <c r="H150" s="15">
        <f>H151+H153+H152</f>
        <v>0</v>
      </c>
      <c r="I150" s="15">
        <f>I151+I153+I152</f>
        <v>0</v>
      </c>
    </row>
    <row r="151" spans="1:9" s="3" customFormat="1" ht="47.25">
      <c r="A151" s="45" t="s">
        <v>72</v>
      </c>
      <c r="B151" s="19" t="s">
        <v>6</v>
      </c>
      <c r="C151" s="19" t="s">
        <v>53</v>
      </c>
      <c r="D151" s="19" t="s">
        <v>133</v>
      </c>
      <c r="E151" s="19" t="s">
        <v>71</v>
      </c>
      <c r="F151" s="21"/>
      <c r="G151" s="15">
        <f>48.24+30+30+3.3</f>
        <v>111.54</v>
      </c>
      <c r="H151" s="15"/>
      <c r="I151" s="15"/>
    </row>
    <row r="152" spans="1:9" s="3" customFormat="1" ht="15.75">
      <c r="A152" s="40" t="s">
        <v>220</v>
      </c>
      <c r="B152" s="19" t="s">
        <v>6</v>
      </c>
      <c r="C152" s="19" t="s">
        <v>53</v>
      </c>
      <c r="D152" s="19" t="s">
        <v>133</v>
      </c>
      <c r="E152" s="19" t="s">
        <v>219</v>
      </c>
      <c r="F152" s="21"/>
      <c r="G152" s="15">
        <v>17</v>
      </c>
      <c r="H152" s="15"/>
      <c r="I152" s="15"/>
    </row>
    <row r="153" spans="1:9" s="3" customFormat="1" ht="47.25">
      <c r="A153" s="75" t="s">
        <v>218</v>
      </c>
      <c r="B153" s="19" t="s">
        <v>6</v>
      </c>
      <c r="C153" s="19" t="s">
        <v>53</v>
      </c>
      <c r="D153" s="19" t="s">
        <v>133</v>
      </c>
      <c r="E153" s="19" t="s">
        <v>84</v>
      </c>
      <c r="F153" s="21"/>
      <c r="G153" s="15">
        <f>2</f>
        <v>2</v>
      </c>
      <c r="H153" s="15"/>
      <c r="I153" s="15"/>
    </row>
    <row r="154" spans="1:9" s="55" customFormat="1" ht="31.5">
      <c r="A154" s="41" t="s">
        <v>17</v>
      </c>
      <c r="B154" s="30" t="s">
        <v>9</v>
      </c>
      <c r="C154" s="30"/>
      <c r="D154" s="30"/>
      <c r="E154" s="30"/>
      <c r="F154" s="28"/>
      <c r="G154" s="29">
        <f aca="true" t="shared" si="10" ref="G154:I157">G155</f>
        <v>10</v>
      </c>
      <c r="H154" s="29">
        <f t="shared" si="10"/>
        <v>30</v>
      </c>
      <c r="I154" s="29">
        <f t="shared" si="10"/>
        <v>30</v>
      </c>
    </row>
    <row r="155" spans="1:9" s="52" customFormat="1" ht="63" customHeight="1">
      <c r="A155" s="41" t="s">
        <v>47</v>
      </c>
      <c r="B155" s="9" t="s">
        <v>9</v>
      </c>
      <c r="C155" s="9" t="s">
        <v>19</v>
      </c>
      <c r="D155" s="9"/>
      <c r="E155" s="9"/>
      <c r="F155" s="11">
        <f>F161+F164</f>
        <v>91.6</v>
      </c>
      <c r="G155" s="12">
        <f t="shared" si="10"/>
        <v>10</v>
      </c>
      <c r="H155" s="12">
        <f t="shared" si="10"/>
        <v>30</v>
      </c>
      <c r="I155" s="12">
        <f t="shared" si="10"/>
        <v>30</v>
      </c>
    </row>
    <row r="156" spans="1:9" s="52" customFormat="1" ht="31.5">
      <c r="A156" s="39" t="s">
        <v>74</v>
      </c>
      <c r="B156" s="19" t="s">
        <v>9</v>
      </c>
      <c r="C156" s="19" t="s">
        <v>19</v>
      </c>
      <c r="D156" s="19" t="s">
        <v>116</v>
      </c>
      <c r="E156" s="19"/>
      <c r="F156" s="11"/>
      <c r="G156" s="26">
        <f>G157+G159</f>
        <v>10</v>
      </c>
      <c r="H156" s="26">
        <f t="shared" si="10"/>
        <v>30</v>
      </c>
      <c r="I156" s="26">
        <f t="shared" si="10"/>
        <v>30</v>
      </c>
    </row>
    <row r="157" spans="1:9" s="52" customFormat="1" ht="48.75" customHeight="1">
      <c r="A157" s="45" t="s">
        <v>85</v>
      </c>
      <c r="B157" s="19" t="s">
        <v>9</v>
      </c>
      <c r="C157" s="19" t="s">
        <v>19</v>
      </c>
      <c r="D157" s="19" t="s">
        <v>134</v>
      </c>
      <c r="E157" s="19"/>
      <c r="F157" s="11"/>
      <c r="G157" s="26">
        <f t="shared" si="10"/>
        <v>10</v>
      </c>
      <c r="H157" s="26">
        <f t="shared" si="10"/>
        <v>30</v>
      </c>
      <c r="I157" s="26">
        <f t="shared" si="10"/>
        <v>30</v>
      </c>
    </row>
    <row r="158" spans="1:9" s="3" customFormat="1" ht="48" customHeight="1">
      <c r="A158" s="45" t="s">
        <v>72</v>
      </c>
      <c r="B158" s="19" t="s">
        <v>9</v>
      </c>
      <c r="C158" s="19" t="s">
        <v>19</v>
      </c>
      <c r="D158" s="19" t="s">
        <v>134</v>
      </c>
      <c r="E158" s="19" t="s">
        <v>71</v>
      </c>
      <c r="F158" s="14" t="e">
        <f>#REF!</f>
        <v>#REF!</v>
      </c>
      <c r="G158" s="15">
        <v>10</v>
      </c>
      <c r="H158" s="15">
        <v>30</v>
      </c>
      <c r="I158" s="15">
        <v>30</v>
      </c>
    </row>
    <row r="159" spans="1:9" s="3" customFormat="1" ht="35.25" customHeight="1" hidden="1">
      <c r="A159" s="60" t="s">
        <v>99</v>
      </c>
      <c r="B159" s="19" t="s">
        <v>9</v>
      </c>
      <c r="C159" s="19" t="s">
        <v>19</v>
      </c>
      <c r="D159" s="19" t="s">
        <v>97</v>
      </c>
      <c r="E159" s="19"/>
      <c r="F159" s="14"/>
      <c r="G159" s="15">
        <f>G160</f>
        <v>0</v>
      </c>
      <c r="H159" s="15">
        <f>H160</f>
        <v>0</v>
      </c>
      <c r="I159" s="15">
        <f>I160</f>
        <v>0</v>
      </c>
    </row>
    <row r="160" spans="1:9" s="3" customFormat="1" ht="48" customHeight="1" hidden="1">
      <c r="A160" s="45" t="s">
        <v>72</v>
      </c>
      <c r="B160" s="19" t="s">
        <v>9</v>
      </c>
      <c r="C160" s="19" t="s">
        <v>19</v>
      </c>
      <c r="D160" s="19" t="s">
        <v>97</v>
      </c>
      <c r="E160" s="19" t="s">
        <v>71</v>
      </c>
      <c r="F160" s="14"/>
      <c r="G160" s="15"/>
      <c r="H160" s="15"/>
      <c r="I160" s="15"/>
    </row>
    <row r="161" spans="1:9" s="52" customFormat="1" ht="17.25" customHeight="1">
      <c r="A161" s="34" t="s">
        <v>45</v>
      </c>
      <c r="B161" s="9" t="s">
        <v>11</v>
      </c>
      <c r="C161" s="9"/>
      <c r="D161" s="9"/>
      <c r="E161" s="9"/>
      <c r="F161" s="11">
        <f>F162+F165</f>
        <v>49.8</v>
      </c>
      <c r="G161" s="12">
        <f>G162+G168+G178</f>
        <v>5579.805</v>
      </c>
      <c r="H161" s="12">
        <f>H162+H168+H178</f>
        <v>864.2</v>
      </c>
      <c r="I161" s="12">
        <f>I162+I168+I178</f>
        <v>1214.4</v>
      </c>
    </row>
    <row r="162" spans="1:9" s="55" customFormat="1" ht="15.75" hidden="1">
      <c r="A162" s="41" t="s">
        <v>57</v>
      </c>
      <c r="B162" s="30" t="s">
        <v>11</v>
      </c>
      <c r="C162" s="30" t="s">
        <v>18</v>
      </c>
      <c r="D162" s="30"/>
      <c r="E162" s="30"/>
      <c r="F162" s="28">
        <f>F164</f>
        <v>41.8</v>
      </c>
      <c r="G162" s="29">
        <f>G163</f>
        <v>0</v>
      </c>
      <c r="H162" s="29">
        <f>H163</f>
        <v>0</v>
      </c>
      <c r="I162" s="29">
        <f>I163</f>
        <v>0</v>
      </c>
    </row>
    <row r="163" spans="1:9" s="3" customFormat="1" ht="31.5" hidden="1">
      <c r="A163" s="39" t="s">
        <v>74</v>
      </c>
      <c r="B163" s="23" t="s">
        <v>11</v>
      </c>
      <c r="C163" s="23" t="s">
        <v>18</v>
      </c>
      <c r="D163" s="23" t="s">
        <v>116</v>
      </c>
      <c r="E163" s="23"/>
      <c r="F163" s="14">
        <f>F164</f>
        <v>41.8</v>
      </c>
      <c r="G163" s="15">
        <f>G164+G166</f>
        <v>0</v>
      </c>
      <c r="H163" s="15">
        <f>H164+H166</f>
        <v>0</v>
      </c>
      <c r="I163" s="15">
        <f>I164+I166</f>
        <v>0</v>
      </c>
    </row>
    <row r="164" spans="1:9" s="3" customFormat="1" ht="96" customHeight="1" hidden="1">
      <c r="A164" s="45" t="s">
        <v>257</v>
      </c>
      <c r="B164" s="23" t="s">
        <v>11</v>
      </c>
      <c r="C164" s="23" t="s">
        <v>18</v>
      </c>
      <c r="D164" s="23" t="s">
        <v>187</v>
      </c>
      <c r="E164" s="23"/>
      <c r="F164" s="14">
        <f>165-123.2</f>
        <v>41.8</v>
      </c>
      <c r="G164" s="15">
        <f aca="true" t="shared" si="11" ref="G164:I166">G165</f>
        <v>0</v>
      </c>
      <c r="H164" s="15">
        <f t="shared" si="11"/>
        <v>0</v>
      </c>
      <c r="I164" s="15">
        <f t="shared" si="11"/>
        <v>0</v>
      </c>
    </row>
    <row r="165" spans="1:9" s="3" customFormat="1" ht="47.25" hidden="1">
      <c r="A165" s="45" t="s">
        <v>72</v>
      </c>
      <c r="B165" s="23" t="s">
        <v>11</v>
      </c>
      <c r="C165" s="23" t="s">
        <v>18</v>
      </c>
      <c r="D165" s="23" t="s">
        <v>187</v>
      </c>
      <c r="E165" s="23" t="s">
        <v>71</v>
      </c>
      <c r="F165" s="14">
        <f>F166</f>
        <v>8</v>
      </c>
      <c r="G165" s="15"/>
      <c r="H165" s="15"/>
      <c r="I165" s="15"/>
    </row>
    <row r="166" spans="1:9" s="3" customFormat="1" ht="94.5" hidden="1">
      <c r="A166" s="45" t="s">
        <v>86</v>
      </c>
      <c r="B166" s="23" t="s">
        <v>11</v>
      </c>
      <c r="C166" s="23" t="s">
        <v>18</v>
      </c>
      <c r="D166" s="23" t="s">
        <v>87</v>
      </c>
      <c r="E166" s="23"/>
      <c r="F166" s="14">
        <f>F167</f>
        <v>8</v>
      </c>
      <c r="G166" s="15">
        <f t="shared" si="11"/>
        <v>0</v>
      </c>
      <c r="H166" s="15">
        <f t="shared" si="11"/>
        <v>0</v>
      </c>
      <c r="I166" s="15">
        <f t="shared" si="11"/>
        <v>0</v>
      </c>
    </row>
    <row r="167" spans="1:9" s="3" customFormat="1" ht="47.25" hidden="1">
      <c r="A167" s="45" t="s">
        <v>72</v>
      </c>
      <c r="B167" s="23" t="s">
        <v>11</v>
      </c>
      <c r="C167" s="23" t="s">
        <v>18</v>
      </c>
      <c r="D167" s="23" t="s">
        <v>87</v>
      </c>
      <c r="E167" s="23" t="s">
        <v>71</v>
      </c>
      <c r="F167" s="14">
        <v>8</v>
      </c>
      <c r="G167" s="15">
        <f>320-320</f>
        <v>0</v>
      </c>
      <c r="H167" s="15"/>
      <c r="I167" s="15"/>
    </row>
    <row r="168" spans="1:9" s="52" customFormat="1" ht="15.75">
      <c r="A168" s="34" t="s">
        <v>48</v>
      </c>
      <c r="B168" s="9" t="s">
        <v>11</v>
      </c>
      <c r="C168" s="9" t="s">
        <v>19</v>
      </c>
      <c r="D168" s="9"/>
      <c r="E168" s="9"/>
      <c r="F168" s="11" t="e">
        <f>#REF!</f>
        <v>#REF!</v>
      </c>
      <c r="G168" s="12">
        <f>G169+G172</f>
        <v>5358.1</v>
      </c>
      <c r="H168" s="12">
        <f>H169+H175</f>
        <v>794.2</v>
      </c>
      <c r="I168" s="12">
        <f>I169+I175</f>
        <v>1144.4</v>
      </c>
    </row>
    <row r="169" spans="1:9" s="52" customFormat="1" ht="63">
      <c r="A169" s="58" t="s">
        <v>298</v>
      </c>
      <c r="B169" s="23" t="s">
        <v>11</v>
      </c>
      <c r="C169" s="23" t="s">
        <v>19</v>
      </c>
      <c r="D169" s="10" t="s">
        <v>135</v>
      </c>
      <c r="E169" s="10"/>
      <c r="F169" s="10"/>
      <c r="G169" s="26">
        <f aca="true" t="shared" si="12" ref="G169:I170">G170</f>
        <v>905.7709999999998</v>
      </c>
      <c r="H169" s="26">
        <f t="shared" si="12"/>
        <v>794.2</v>
      </c>
      <c r="I169" s="26">
        <f t="shared" si="12"/>
        <v>1144.4</v>
      </c>
    </row>
    <row r="170" spans="1:9" s="52" customFormat="1" ht="31.5">
      <c r="A170" s="51" t="s">
        <v>96</v>
      </c>
      <c r="B170" s="23" t="s">
        <v>11</v>
      </c>
      <c r="C170" s="23" t="s">
        <v>19</v>
      </c>
      <c r="D170" s="10" t="s">
        <v>136</v>
      </c>
      <c r="E170" s="10"/>
      <c r="F170" s="10"/>
      <c r="G170" s="26">
        <f t="shared" si="12"/>
        <v>905.7709999999998</v>
      </c>
      <c r="H170" s="26">
        <f t="shared" si="12"/>
        <v>794.2</v>
      </c>
      <c r="I170" s="26">
        <f t="shared" si="12"/>
        <v>1144.4</v>
      </c>
    </row>
    <row r="171" spans="1:9" s="52" customFormat="1" ht="47.25">
      <c r="A171" s="45" t="s">
        <v>72</v>
      </c>
      <c r="B171" s="23" t="s">
        <v>11</v>
      </c>
      <c r="C171" s="23" t="s">
        <v>19</v>
      </c>
      <c r="D171" s="10" t="s">
        <v>136</v>
      </c>
      <c r="E171" s="10" t="s">
        <v>71</v>
      </c>
      <c r="F171" s="10" t="s">
        <v>71</v>
      </c>
      <c r="G171" s="26">
        <f>578.5+22.3+233.5+0.3-2.229+73.4</f>
        <v>905.7709999999998</v>
      </c>
      <c r="H171" s="26">
        <v>794.2</v>
      </c>
      <c r="I171" s="26">
        <v>1144.4</v>
      </c>
    </row>
    <row r="172" spans="1:9" s="52" customFormat="1" ht="31.5">
      <c r="A172" s="39" t="s">
        <v>74</v>
      </c>
      <c r="B172" s="19" t="s">
        <v>11</v>
      </c>
      <c r="C172" s="19" t="s">
        <v>19</v>
      </c>
      <c r="D172" s="19" t="s">
        <v>116</v>
      </c>
      <c r="E172" s="10"/>
      <c r="F172" s="10"/>
      <c r="G172" s="26">
        <f>G175+G173</f>
        <v>4452.329000000001</v>
      </c>
      <c r="H172" s="26">
        <f>H175+H173</f>
        <v>0</v>
      </c>
      <c r="I172" s="26">
        <f>I175+I173</f>
        <v>0</v>
      </c>
    </row>
    <row r="173" spans="1:9" s="52" customFormat="1" ht="96" customHeight="1">
      <c r="A173" s="45" t="s">
        <v>195</v>
      </c>
      <c r="B173" s="19" t="s">
        <v>11</v>
      </c>
      <c r="C173" s="19" t="s">
        <v>19</v>
      </c>
      <c r="D173" s="19" t="s">
        <v>194</v>
      </c>
      <c r="E173" s="19"/>
      <c r="F173" s="10"/>
      <c r="G173" s="26">
        <f>G174</f>
        <v>2.3</v>
      </c>
      <c r="H173" s="26">
        <f>H174</f>
        <v>0</v>
      </c>
      <c r="I173" s="26">
        <f>I174</f>
        <v>0</v>
      </c>
    </row>
    <row r="174" spans="1:9" s="52" customFormat="1" ht="47.25">
      <c r="A174" s="45" t="s">
        <v>72</v>
      </c>
      <c r="B174" s="19" t="s">
        <v>11</v>
      </c>
      <c r="C174" s="19" t="s">
        <v>19</v>
      </c>
      <c r="D174" s="19" t="s">
        <v>194</v>
      </c>
      <c r="E174" s="19" t="s">
        <v>71</v>
      </c>
      <c r="F174" s="10"/>
      <c r="G174" s="26">
        <v>2.3</v>
      </c>
      <c r="H174" s="26"/>
      <c r="I174" s="26"/>
    </row>
    <row r="175" spans="1:9" s="52" customFormat="1" ht="94.5">
      <c r="A175" s="45" t="s">
        <v>344</v>
      </c>
      <c r="B175" s="23" t="s">
        <v>11</v>
      </c>
      <c r="C175" s="24" t="s">
        <v>19</v>
      </c>
      <c r="D175" s="24" t="s">
        <v>340</v>
      </c>
      <c r="E175" s="24"/>
      <c r="F175" s="10"/>
      <c r="G175" s="26">
        <f>G177+G176</f>
        <v>4450.029</v>
      </c>
      <c r="H175" s="26">
        <f>H177+H176</f>
        <v>0</v>
      </c>
      <c r="I175" s="26">
        <f>I177+I176</f>
        <v>0</v>
      </c>
    </row>
    <row r="176" spans="1:9" s="52" customFormat="1" ht="47.25">
      <c r="A176" s="45" t="s">
        <v>72</v>
      </c>
      <c r="B176" s="23" t="s">
        <v>11</v>
      </c>
      <c r="C176" s="24" t="s">
        <v>19</v>
      </c>
      <c r="D176" s="24" t="s">
        <v>340</v>
      </c>
      <c r="E176" s="24" t="s">
        <v>71</v>
      </c>
      <c r="F176" s="10"/>
      <c r="G176" s="26">
        <f>2218.8</f>
        <v>2218.8</v>
      </c>
      <c r="H176" s="26"/>
      <c r="I176" s="26"/>
    </row>
    <row r="177" spans="1:9" s="52" customFormat="1" ht="15.75">
      <c r="A177" s="45" t="s">
        <v>58</v>
      </c>
      <c r="B177" s="23" t="s">
        <v>11</v>
      </c>
      <c r="C177" s="24" t="s">
        <v>19</v>
      </c>
      <c r="D177" s="24" t="s">
        <v>340</v>
      </c>
      <c r="E177" s="24" t="s">
        <v>90</v>
      </c>
      <c r="F177" s="10"/>
      <c r="G177" s="26">
        <f>2229+2.229</f>
        <v>2231.229</v>
      </c>
      <c r="H177" s="26"/>
      <c r="I177" s="26"/>
    </row>
    <row r="178" spans="1:9" s="52" customFormat="1" ht="31.5">
      <c r="A178" s="34" t="s">
        <v>20</v>
      </c>
      <c r="B178" s="9" t="s">
        <v>11</v>
      </c>
      <c r="C178" s="9" t="s">
        <v>14</v>
      </c>
      <c r="D178" s="9"/>
      <c r="E178" s="9"/>
      <c r="F178" s="11" t="e">
        <f>F179+#REF!</f>
        <v>#REF!</v>
      </c>
      <c r="G178" s="12">
        <f>G179</f>
        <v>221.70500000000004</v>
      </c>
      <c r="H178" s="12">
        <f>H179</f>
        <v>70</v>
      </c>
      <c r="I178" s="12">
        <f>I179</f>
        <v>70</v>
      </c>
    </row>
    <row r="179" spans="1:9" s="3" customFormat="1" ht="31.5">
      <c r="A179" s="39" t="s">
        <v>74</v>
      </c>
      <c r="B179" s="19" t="s">
        <v>11</v>
      </c>
      <c r="C179" s="19" t="s">
        <v>14</v>
      </c>
      <c r="D179" s="19" t="s">
        <v>116</v>
      </c>
      <c r="E179" s="19"/>
      <c r="F179" s="14">
        <f aca="true" t="shared" si="13" ref="F179:I180">F180</f>
        <v>300</v>
      </c>
      <c r="G179" s="15">
        <f>G180+G182</f>
        <v>221.70500000000004</v>
      </c>
      <c r="H179" s="15">
        <f>H180+H182</f>
        <v>70</v>
      </c>
      <c r="I179" s="15">
        <f>I180+I182</f>
        <v>70</v>
      </c>
    </row>
    <row r="180" spans="1:9" s="3" customFormat="1" ht="31.5">
      <c r="A180" s="45" t="s">
        <v>21</v>
      </c>
      <c r="B180" s="19" t="s">
        <v>11</v>
      </c>
      <c r="C180" s="19" t="s">
        <v>14</v>
      </c>
      <c r="D180" s="19" t="s">
        <v>137</v>
      </c>
      <c r="E180" s="19"/>
      <c r="F180" s="14">
        <f t="shared" si="13"/>
        <v>300</v>
      </c>
      <c r="G180" s="15">
        <f t="shared" si="13"/>
        <v>121.70500000000003</v>
      </c>
      <c r="H180" s="15">
        <f t="shared" si="13"/>
        <v>70</v>
      </c>
      <c r="I180" s="15">
        <f t="shared" si="13"/>
        <v>70</v>
      </c>
    </row>
    <row r="181" spans="1:9" s="3" customFormat="1" ht="47.25">
      <c r="A181" s="45" t="s">
        <v>72</v>
      </c>
      <c r="B181" s="19" t="s">
        <v>11</v>
      </c>
      <c r="C181" s="19" t="s">
        <v>14</v>
      </c>
      <c r="D181" s="19" t="s">
        <v>137</v>
      </c>
      <c r="E181" s="19" t="s">
        <v>71</v>
      </c>
      <c r="F181" s="14">
        <v>300</v>
      </c>
      <c r="G181" s="15">
        <f>100+154.8-143.962+10.867</f>
        <v>121.70500000000003</v>
      </c>
      <c r="H181" s="15">
        <v>70</v>
      </c>
      <c r="I181" s="15">
        <v>70</v>
      </c>
    </row>
    <row r="182" spans="1:9" s="3" customFormat="1" ht="97.5" customHeight="1">
      <c r="A182" s="45" t="s">
        <v>195</v>
      </c>
      <c r="B182" s="19" t="s">
        <v>11</v>
      </c>
      <c r="C182" s="19" t="s">
        <v>14</v>
      </c>
      <c r="D182" s="19" t="s">
        <v>194</v>
      </c>
      <c r="E182" s="19"/>
      <c r="F182" s="14"/>
      <c r="G182" s="15">
        <f>G183</f>
        <v>100</v>
      </c>
      <c r="H182" s="15">
        <f>H183</f>
        <v>0</v>
      </c>
      <c r="I182" s="15">
        <f>I183</f>
        <v>0</v>
      </c>
    </row>
    <row r="183" spans="1:9" s="3" customFormat="1" ht="47.25">
      <c r="A183" s="45" t="s">
        <v>72</v>
      </c>
      <c r="B183" s="19" t="s">
        <v>11</v>
      </c>
      <c r="C183" s="19" t="s">
        <v>14</v>
      </c>
      <c r="D183" s="19" t="s">
        <v>194</v>
      </c>
      <c r="E183" s="19" t="s">
        <v>71</v>
      </c>
      <c r="F183" s="14"/>
      <c r="G183" s="15">
        <v>100</v>
      </c>
      <c r="H183" s="15"/>
      <c r="I183" s="15"/>
    </row>
    <row r="184" spans="1:9" s="3" customFormat="1" ht="15.75">
      <c r="A184" s="34" t="s">
        <v>22</v>
      </c>
      <c r="B184" s="9" t="s">
        <v>18</v>
      </c>
      <c r="C184" s="19"/>
      <c r="D184" s="19"/>
      <c r="E184" s="19"/>
      <c r="F184" s="11" t="e">
        <f>#REF!+F189+#REF!</f>
        <v>#REF!</v>
      </c>
      <c r="G184" s="12">
        <f>G189+G185+G210</f>
        <v>21453.840000000004</v>
      </c>
      <c r="H184" s="12">
        <f>H189+H185+H210</f>
        <v>17488.7</v>
      </c>
      <c r="I184" s="12">
        <f>I189+I185+I210</f>
        <v>17696.600000000002</v>
      </c>
    </row>
    <row r="185" spans="1:9" s="55" customFormat="1" ht="15.75">
      <c r="A185" s="41" t="s">
        <v>200</v>
      </c>
      <c r="B185" s="30" t="s">
        <v>18</v>
      </c>
      <c r="C185" s="30" t="s">
        <v>6</v>
      </c>
      <c r="D185" s="30"/>
      <c r="E185" s="30"/>
      <c r="F185" s="28"/>
      <c r="G185" s="29">
        <f aca="true" t="shared" si="14" ref="G185:I187">G186</f>
        <v>7.614000000000001</v>
      </c>
      <c r="H185" s="29">
        <f t="shared" si="14"/>
        <v>13</v>
      </c>
      <c r="I185" s="29">
        <f t="shared" si="14"/>
        <v>16</v>
      </c>
    </row>
    <row r="186" spans="1:9" s="3" customFormat="1" ht="31.5">
      <c r="A186" s="39" t="s">
        <v>74</v>
      </c>
      <c r="B186" s="23" t="s">
        <v>18</v>
      </c>
      <c r="C186" s="23" t="s">
        <v>6</v>
      </c>
      <c r="D186" s="19" t="s">
        <v>116</v>
      </c>
      <c r="E186" s="19"/>
      <c r="F186" s="11"/>
      <c r="G186" s="26">
        <f t="shared" si="14"/>
        <v>7.614000000000001</v>
      </c>
      <c r="H186" s="26">
        <f t="shared" si="14"/>
        <v>13</v>
      </c>
      <c r="I186" s="26">
        <f t="shared" si="14"/>
        <v>16</v>
      </c>
    </row>
    <row r="187" spans="1:9" s="3" customFormat="1" ht="31.5">
      <c r="A187" s="45" t="s">
        <v>203</v>
      </c>
      <c r="B187" s="23" t="s">
        <v>18</v>
      </c>
      <c r="C187" s="23" t="s">
        <v>6</v>
      </c>
      <c r="D187" s="19" t="s">
        <v>201</v>
      </c>
      <c r="E187" s="19"/>
      <c r="F187" s="11"/>
      <c r="G187" s="26">
        <f t="shared" si="14"/>
        <v>7.614000000000001</v>
      </c>
      <c r="H187" s="26">
        <f t="shared" si="14"/>
        <v>13</v>
      </c>
      <c r="I187" s="26">
        <f t="shared" si="14"/>
        <v>16</v>
      </c>
    </row>
    <row r="188" spans="1:9" s="3" customFormat="1" ht="47.25">
      <c r="A188" s="45" t="s">
        <v>335</v>
      </c>
      <c r="B188" s="23" t="s">
        <v>18</v>
      </c>
      <c r="C188" s="23" t="s">
        <v>6</v>
      </c>
      <c r="D188" s="19" t="s">
        <v>201</v>
      </c>
      <c r="E188" s="19" t="s">
        <v>336</v>
      </c>
      <c r="F188" s="11"/>
      <c r="G188" s="26">
        <f>17-9.386</f>
        <v>7.614000000000001</v>
      </c>
      <c r="H188" s="26">
        <v>13</v>
      </c>
      <c r="I188" s="26">
        <v>16</v>
      </c>
    </row>
    <row r="189" spans="1:9" s="52" customFormat="1" ht="15.75">
      <c r="A189" s="34" t="s">
        <v>23</v>
      </c>
      <c r="B189" s="9" t="s">
        <v>18</v>
      </c>
      <c r="C189" s="9" t="s">
        <v>7</v>
      </c>
      <c r="D189" s="9"/>
      <c r="E189" s="9"/>
      <c r="F189" s="11" t="e">
        <f>F202+#REF!</f>
        <v>#REF!</v>
      </c>
      <c r="G189" s="12">
        <f>G200+G190</f>
        <v>20130.215000000004</v>
      </c>
      <c r="H189" s="12">
        <f>H200+H190</f>
        <v>17475.7</v>
      </c>
      <c r="I189" s="12">
        <f>I200+I190</f>
        <v>17680.600000000002</v>
      </c>
    </row>
    <row r="190" spans="1:9" s="3" customFormat="1" ht="93.75" customHeight="1">
      <c r="A190" s="74" t="s">
        <v>297</v>
      </c>
      <c r="B190" s="19" t="s">
        <v>18</v>
      </c>
      <c r="C190" s="19" t="s">
        <v>7</v>
      </c>
      <c r="D190" s="19" t="s">
        <v>130</v>
      </c>
      <c r="E190" s="19"/>
      <c r="F190" s="21"/>
      <c r="G190" s="15">
        <f>G191</f>
        <v>17624.258000000005</v>
      </c>
      <c r="H190" s="15">
        <f>H191</f>
        <v>17475.7</v>
      </c>
      <c r="I190" s="15">
        <f>I191</f>
        <v>17680.600000000002</v>
      </c>
    </row>
    <row r="191" spans="1:9" s="3" customFormat="1" ht="31.5">
      <c r="A191" s="32" t="s">
        <v>211</v>
      </c>
      <c r="B191" s="19" t="s">
        <v>18</v>
      </c>
      <c r="C191" s="19" t="s">
        <v>7</v>
      </c>
      <c r="D191" s="19" t="s">
        <v>188</v>
      </c>
      <c r="E191" s="19"/>
      <c r="F191" s="21"/>
      <c r="G191" s="15">
        <f>G192+G193+G194+G195+G197+G198+G199+G196</f>
        <v>17624.258000000005</v>
      </c>
      <c r="H191" s="15">
        <f>H192+H193+H194+H195+H197+H198+H199+H196</f>
        <v>17475.7</v>
      </c>
      <c r="I191" s="15">
        <f>I192+I193+I194+I195+I197+I198+I199+I196</f>
        <v>17680.600000000002</v>
      </c>
    </row>
    <row r="192" spans="1:9" s="52" customFormat="1" ht="15.75">
      <c r="A192" s="64" t="s">
        <v>184</v>
      </c>
      <c r="B192" s="19" t="s">
        <v>18</v>
      </c>
      <c r="C192" s="19" t="s">
        <v>7</v>
      </c>
      <c r="D192" s="19" t="s">
        <v>188</v>
      </c>
      <c r="E192" s="19" t="s">
        <v>82</v>
      </c>
      <c r="F192" s="11"/>
      <c r="G192" s="26">
        <v>5761.4</v>
      </c>
      <c r="H192" s="26">
        <v>6740.2</v>
      </c>
      <c r="I192" s="26">
        <v>6740.2</v>
      </c>
    </row>
    <row r="193" spans="1:9" s="52" customFormat="1" ht="47.25">
      <c r="A193" s="64" t="s">
        <v>79</v>
      </c>
      <c r="B193" s="19" t="s">
        <v>18</v>
      </c>
      <c r="C193" s="19" t="s">
        <v>7</v>
      </c>
      <c r="D193" s="19" t="s">
        <v>188</v>
      </c>
      <c r="E193" s="19" t="s">
        <v>63</v>
      </c>
      <c r="F193" s="11"/>
      <c r="G193" s="26">
        <f>0.536</f>
        <v>0.536</v>
      </c>
      <c r="H193" s="26"/>
      <c r="I193" s="26"/>
    </row>
    <row r="194" spans="1:9" s="52" customFormat="1" ht="63">
      <c r="A194" s="39" t="s">
        <v>185</v>
      </c>
      <c r="B194" s="19" t="s">
        <v>18</v>
      </c>
      <c r="C194" s="19" t="s">
        <v>7</v>
      </c>
      <c r="D194" s="19" t="s">
        <v>188</v>
      </c>
      <c r="E194" s="19" t="s">
        <v>146</v>
      </c>
      <c r="F194" s="11"/>
      <c r="G194" s="26">
        <v>1950.5</v>
      </c>
      <c r="H194" s="26">
        <v>2035.5</v>
      </c>
      <c r="I194" s="26">
        <v>2035.5</v>
      </c>
    </row>
    <row r="195" spans="1:9" s="52" customFormat="1" ht="47.25">
      <c r="A195" s="64" t="s">
        <v>72</v>
      </c>
      <c r="B195" s="19" t="s">
        <v>18</v>
      </c>
      <c r="C195" s="19" t="s">
        <v>7</v>
      </c>
      <c r="D195" s="19" t="s">
        <v>188</v>
      </c>
      <c r="E195" s="53" t="s">
        <v>71</v>
      </c>
      <c r="F195" s="11"/>
      <c r="G195" s="26">
        <f>9500+553.1-91.36-125.6-8.756-42.917+400.7+2.116-15.392-5+89.226-164.603-15.61-19.175-762.289</f>
        <v>9294.440000000002</v>
      </c>
      <c r="H195" s="26">
        <v>8200</v>
      </c>
      <c r="I195" s="26">
        <v>8400</v>
      </c>
    </row>
    <row r="196" spans="1:9" s="52" customFormat="1" ht="47.25">
      <c r="A196" s="75" t="s">
        <v>218</v>
      </c>
      <c r="B196" s="19" t="s">
        <v>18</v>
      </c>
      <c r="C196" s="19" t="s">
        <v>7</v>
      </c>
      <c r="D196" s="19" t="s">
        <v>188</v>
      </c>
      <c r="E196" s="53" t="s">
        <v>84</v>
      </c>
      <c r="F196" s="11"/>
      <c r="G196" s="26">
        <f>4+2+34.204</f>
        <v>40.204</v>
      </c>
      <c r="H196" s="26"/>
      <c r="I196" s="26"/>
    </row>
    <row r="197" spans="1:9" s="52" customFormat="1" ht="31.5">
      <c r="A197" s="75" t="s">
        <v>73</v>
      </c>
      <c r="B197" s="19" t="s">
        <v>18</v>
      </c>
      <c r="C197" s="19" t="s">
        <v>7</v>
      </c>
      <c r="D197" s="19" t="s">
        <v>188</v>
      </c>
      <c r="E197" s="53" t="s">
        <v>75</v>
      </c>
      <c r="F197" s="11"/>
      <c r="G197" s="26">
        <f>14+19.47</f>
        <v>33.47</v>
      </c>
      <c r="H197" s="26">
        <v>50</v>
      </c>
      <c r="I197" s="26">
        <v>54.9</v>
      </c>
    </row>
    <row r="198" spans="1:9" s="52" customFormat="1" ht="31.5">
      <c r="A198" s="75" t="s">
        <v>80</v>
      </c>
      <c r="B198" s="19" t="s">
        <v>18</v>
      </c>
      <c r="C198" s="19" t="s">
        <v>7</v>
      </c>
      <c r="D198" s="19" t="s">
        <v>188</v>
      </c>
      <c r="E198" s="53" t="s">
        <v>83</v>
      </c>
      <c r="F198" s="11"/>
      <c r="G198" s="26">
        <f>50+390-7.5-11.96-66.256-1.072</f>
        <v>353.212</v>
      </c>
      <c r="H198" s="26">
        <v>450</v>
      </c>
      <c r="I198" s="26">
        <v>450</v>
      </c>
    </row>
    <row r="199" spans="1:9" s="52" customFormat="1" ht="15.75">
      <c r="A199" s="75" t="s">
        <v>204</v>
      </c>
      <c r="B199" s="19" t="s">
        <v>18</v>
      </c>
      <c r="C199" s="19" t="s">
        <v>7</v>
      </c>
      <c r="D199" s="19" t="s">
        <v>188</v>
      </c>
      <c r="E199" s="53" t="s">
        <v>202</v>
      </c>
      <c r="F199" s="11"/>
      <c r="G199" s="26">
        <f>0.058+25.735+15.005+5+0.371+88.55+0.17+32.607+23</f>
        <v>190.49599999999998</v>
      </c>
      <c r="H199" s="26"/>
      <c r="I199" s="26"/>
    </row>
    <row r="200" spans="1:9" s="52" customFormat="1" ht="31.5">
      <c r="A200" s="39" t="s">
        <v>74</v>
      </c>
      <c r="B200" s="19" t="s">
        <v>18</v>
      </c>
      <c r="C200" s="19" t="s">
        <v>7</v>
      </c>
      <c r="D200" s="19" t="s">
        <v>116</v>
      </c>
      <c r="E200" s="19"/>
      <c r="F200" s="11"/>
      <c r="G200" s="26">
        <f>G201+G204+G208+G206</f>
        <v>2505.957</v>
      </c>
      <c r="H200" s="26">
        <f>H201+H204+H208+H206</f>
        <v>0</v>
      </c>
      <c r="I200" s="26">
        <f>I201+I204+I208+I206</f>
        <v>0</v>
      </c>
    </row>
    <row r="201" spans="1:9" s="52" customFormat="1" ht="31.5">
      <c r="A201" s="45" t="s">
        <v>88</v>
      </c>
      <c r="B201" s="19" t="s">
        <v>18</v>
      </c>
      <c r="C201" s="19" t="s">
        <v>7</v>
      </c>
      <c r="D201" s="19" t="s">
        <v>138</v>
      </c>
      <c r="E201" s="19"/>
      <c r="F201" s="11"/>
      <c r="G201" s="26">
        <f>G202+G203</f>
        <v>1809.492</v>
      </c>
      <c r="H201" s="26">
        <f>H202+H203</f>
        <v>0</v>
      </c>
      <c r="I201" s="26">
        <f>I202+I203</f>
        <v>0</v>
      </c>
    </row>
    <row r="202" spans="1:9" s="3" customFormat="1" ht="47.25">
      <c r="A202" s="45" t="s">
        <v>72</v>
      </c>
      <c r="B202" s="19" t="s">
        <v>18</v>
      </c>
      <c r="C202" s="19" t="s">
        <v>7</v>
      </c>
      <c r="D202" s="19" t="s">
        <v>138</v>
      </c>
      <c r="E202" s="19" t="s">
        <v>71</v>
      </c>
      <c r="F202" s="14" t="e">
        <f>#REF!</f>
        <v>#REF!</v>
      </c>
      <c r="G202" s="15">
        <f>1500-120.407-3.183-6.972-6.27-30-35.133-612.7-10.993-33-11-201.962+33-2+143.962-1.071+1272-1-23.779-40</f>
        <v>1809.492</v>
      </c>
      <c r="H202" s="15"/>
      <c r="I202" s="15"/>
    </row>
    <row r="203" spans="1:9" s="3" customFormat="1" ht="47.25" hidden="1">
      <c r="A203" s="75" t="s">
        <v>218</v>
      </c>
      <c r="B203" s="19" t="s">
        <v>18</v>
      </c>
      <c r="C203" s="19" t="s">
        <v>7</v>
      </c>
      <c r="D203" s="19" t="s">
        <v>138</v>
      </c>
      <c r="E203" s="19" t="s">
        <v>84</v>
      </c>
      <c r="F203" s="14"/>
      <c r="G203" s="15"/>
      <c r="H203" s="15"/>
      <c r="I203" s="15"/>
    </row>
    <row r="204" spans="1:9" s="3" customFormat="1" ht="95.25" customHeight="1">
      <c r="A204" s="39" t="s">
        <v>258</v>
      </c>
      <c r="B204" s="19" t="s">
        <v>18</v>
      </c>
      <c r="C204" s="19" t="s">
        <v>7</v>
      </c>
      <c r="D204" s="19" t="s">
        <v>139</v>
      </c>
      <c r="E204" s="19"/>
      <c r="F204" s="14"/>
      <c r="G204" s="15">
        <f>G205</f>
        <v>200</v>
      </c>
      <c r="H204" s="15">
        <f>H205</f>
        <v>0</v>
      </c>
      <c r="I204" s="15">
        <f>I205</f>
        <v>0</v>
      </c>
    </row>
    <row r="205" spans="1:9" s="3" customFormat="1" ht="80.25" customHeight="1">
      <c r="A205" s="66" t="s">
        <v>239</v>
      </c>
      <c r="B205" s="19" t="s">
        <v>18</v>
      </c>
      <c r="C205" s="19" t="s">
        <v>7</v>
      </c>
      <c r="D205" s="19" t="s">
        <v>139</v>
      </c>
      <c r="E205" s="19" t="s">
        <v>228</v>
      </c>
      <c r="F205" s="14"/>
      <c r="G205" s="15">
        <v>200</v>
      </c>
      <c r="H205" s="15"/>
      <c r="I205" s="15"/>
    </row>
    <row r="206" spans="1:9" s="3" customFormat="1" ht="16.5" customHeight="1">
      <c r="A206" s="45" t="s">
        <v>43</v>
      </c>
      <c r="B206" s="19" t="s">
        <v>18</v>
      </c>
      <c r="C206" s="19" t="s">
        <v>7</v>
      </c>
      <c r="D206" s="19" t="s">
        <v>117</v>
      </c>
      <c r="E206" s="19"/>
      <c r="F206" s="14"/>
      <c r="G206" s="15">
        <f>G207</f>
        <v>10</v>
      </c>
      <c r="H206" s="15">
        <f>H207</f>
        <v>0</v>
      </c>
      <c r="I206" s="15">
        <f>I207</f>
        <v>0</v>
      </c>
    </row>
    <row r="207" spans="1:9" s="3" customFormat="1" ht="47.25">
      <c r="A207" s="45" t="s">
        <v>72</v>
      </c>
      <c r="B207" s="19" t="s">
        <v>18</v>
      </c>
      <c r="C207" s="19" t="s">
        <v>7</v>
      </c>
      <c r="D207" s="19" t="s">
        <v>117</v>
      </c>
      <c r="E207" s="19" t="s">
        <v>71</v>
      </c>
      <c r="F207" s="14"/>
      <c r="G207" s="15">
        <v>10</v>
      </c>
      <c r="H207" s="15"/>
      <c r="I207" s="15"/>
    </row>
    <row r="208" spans="1:9" s="3" customFormat="1" ht="31.5">
      <c r="A208" s="66" t="s">
        <v>174</v>
      </c>
      <c r="B208" s="19" t="s">
        <v>18</v>
      </c>
      <c r="C208" s="19" t="s">
        <v>7</v>
      </c>
      <c r="D208" s="19" t="s">
        <v>175</v>
      </c>
      <c r="E208" s="19"/>
      <c r="F208" s="14"/>
      <c r="G208" s="15">
        <f>G209</f>
        <v>486.465</v>
      </c>
      <c r="H208" s="15">
        <f>H209</f>
        <v>0</v>
      </c>
      <c r="I208" s="15">
        <f>I209</f>
        <v>0</v>
      </c>
    </row>
    <row r="209" spans="1:9" s="3" customFormat="1" ht="47.25">
      <c r="A209" s="45" t="s">
        <v>72</v>
      </c>
      <c r="B209" s="19" t="s">
        <v>18</v>
      </c>
      <c r="C209" s="19" t="s">
        <v>7</v>
      </c>
      <c r="D209" s="19" t="s">
        <v>175</v>
      </c>
      <c r="E209" s="19" t="s">
        <v>71</v>
      </c>
      <c r="F209" s="14"/>
      <c r="G209" s="15">
        <v>486.465</v>
      </c>
      <c r="H209" s="15"/>
      <c r="I209" s="15"/>
    </row>
    <row r="210" spans="1:9" s="55" customFormat="1" ht="15.75">
      <c r="A210" s="95" t="s">
        <v>351</v>
      </c>
      <c r="B210" s="30" t="s">
        <v>18</v>
      </c>
      <c r="C210" s="30" t="s">
        <v>9</v>
      </c>
      <c r="D210" s="30"/>
      <c r="E210" s="30"/>
      <c r="F210" s="28"/>
      <c r="G210" s="29">
        <f aca="true" t="shared" si="15" ref="G210:I212">G211</f>
        <v>1316.011</v>
      </c>
      <c r="H210" s="29">
        <f t="shared" si="15"/>
        <v>0</v>
      </c>
      <c r="I210" s="29">
        <f t="shared" si="15"/>
        <v>0</v>
      </c>
    </row>
    <row r="211" spans="1:9" s="3" customFormat="1" ht="31.5">
      <c r="A211" s="39" t="s">
        <v>74</v>
      </c>
      <c r="B211" s="19" t="s">
        <v>18</v>
      </c>
      <c r="C211" s="19" t="s">
        <v>9</v>
      </c>
      <c r="D211" s="19" t="s">
        <v>116</v>
      </c>
      <c r="E211" s="19"/>
      <c r="F211" s="14"/>
      <c r="G211" s="15">
        <f>G212+G214</f>
        <v>1316.011</v>
      </c>
      <c r="H211" s="15">
        <f>H212+H214</f>
        <v>0</v>
      </c>
      <c r="I211" s="15">
        <f>I212+I214</f>
        <v>0</v>
      </c>
    </row>
    <row r="212" spans="1:9" s="3" customFormat="1" ht="80.25" customHeight="1">
      <c r="A212" s="66" t="s">
        <v>359</v>
      </c>
      <c r="B212" s="19" t="s">
        <v>18</v>
      </c>
      <c r="C212" s="19" t="s">
        <v>9</v>
      </c>
      <c r="D212" s="19" t="s">
        <v>158</v>
      </c>
      <c r="E212" s="19"/>
      <c r="F212" s="14"/>
      <c r="G212" s="15">
        <f t="shared" si="15"/>
        <v>0.011</v>
      </c>
      <c r="H212" s="15">
        <f t="shared" si="15"/>
        <v>0</v>
      </c>
      <c r="I212" s="15">
        <f t="shared" si="15"/>
        <v>0</v>
      </c>
    </row>
    <row r="213" spans="1:9" s="3" customFormat="1" ht="15.75">
      <c r="A213" s="66" t="s">
        <v>58</v>
      </c>
      <c r="B213" s="19" t="s">
        <v>18</v>
      </c>
      <c r="C213" s="19" t="s">
        <v>9</v>
      </c>
      <c r="D213" s="19" t="s">
        <v>158</v>
      </c>
      <c r="E213" s="19" t="s">
        <v>90</v>
      </c>
      <c r="F213" s="14"/>
      <c r="G213" s="15">
        <v>0.011</v>
      </c>
      <c r="H213" s="15"/>
      <c r="I213" s="15"/>
    </row>
    <row r="214" spans="1:9" s="3" customFormat="1" ht="81.75" customHeight="1">
      <c r="A214" s="66" t="s">
        <v>354</v>
      </c>
      <c r="B214" s="19" t="s">
        <v>18</v>
      </c>
      <c r="C214" s="19" t="s">
        <v>9</v>
      </c>
      <c r="D214" s="19" t="s">
        <v>357</v>
      </c>
      <c r="E214" s="19"/>
      <c r="F214" s="14"/>
      <c r="G214" s="15">
        <f>G215</f>
        <v>1316</v>
      </c>
      <c r="H214" s="15">
        <f>H215</f>
        <v>0</v>
      </c>
      <c r="I214" s="15">
        <f>I215</f>
        <v>0</v>
      </c>
    </row>
    <row r="215" spans="1:9" s="3" customFormat="1" ht="15.75">
      <c r="A215" s="66" t="s">
        <v>58</v>
      </c>
      <c r="B215" s="19" t="s">
        <v>18</v>
      </c>
      <c r="C215" s="19" t="s">
        <v>9</v>
      </c>
      <c r="D215" s="19" t="s">
        <v>357</v>
      </c>
      <c r="E215" s="19" t="s">
        <v>90</v>
      </c>
      <c r="F215" s="14"/>
      <c r="G215" s="15">
        <v>1316</v>
      </c>
      <c r="H215" s="15"/>
      <c r="I215" s="15"/>
    </row>
    <row r="216" spans="1:9" s="52" customFormat="1" ht="15.75">
      <c r="A216" s="34" t="s">
        <v>46</v>
      </c>
      <c r="B216" s="9" t="s">
        <v>24</v>
      </c>
      <c r="C216" s="9"/>
      <c r="D216" s="9"/>
      <c r="E216" s="9"/>
      <c r="F216" s="11">
        <f aca="true" t="shared" si="16" ref="F216:I218">F217</f>
        <v>161.6</v>
      </c>
      <c r="G216" s="12">
        <f>G217</f>
        <v>7.519</v>
      </c>
      <c r="H216" s="12">
        <f>H217</f>
        <v>0</v>
      </c>
      <c r="I216" s="12">
        <f>I217</f>
        <v>0</v>
      </c>
    </row>
    <row r="217" spans="1:9" s="52" customFormat="1" ht="31.5">
      <c r="A217" s="34" t="s">
        <v>25</v>
      </c>
      <c r="B217" s="9" t="s">
        <v>24</v>
      </c>
      <c r="C217" s="9" t="s">
        <v>9</v>
      </c>
      <c r="D217" s="9"/>
      <c r="E217" s="9"/>
      <c r="F217" s="11">
        <f t="shared" si="16"/>
        <v>161.6</v>
      </c>
      <c r="G217" s="12">
        <f>G218</f>
        <v>7.519</v>
      </c>
      <c r="H217" s="12">
        <f t="shared" si="16"/>
        <v>0</v>
      </c>
      <c r="I217" s="12">
        <f t="shared" si="16"/>
        <v>0</v>
      </c>
    </row>
    <row r="218" spans="1:9" s="3" customFormat="1" ht="63">
      <c r="A218" s="74" t="s">
        <v>296</v>
      </c>
      <c r="B218" s="19" t="s">
        <v>24</v>
      </c>
      <c r="C218" s="19" t="s">
        <v>9</v>
      </c>
      <c r="D218" s="19" t="s">
        <v>140</v>
      </c>
      <c r="E218" s="19"/>
      <c r="F218" s="14">
        <f>F220</f>
        <v>161.6</v>
      </c>
      <c r="G218" s="15">
        <f>G219</f>
        <v>7.519</v>
      </c>
      <c r="H218" s="15">
        <f t="shared" si="16"/>
        <v>0</v>
      </c>
      <c r="I218" s="15">
        <f t="shared" si="16"/>
        <v>0</v>
      </c>
    </row>
    <row r="219" spans="1:9" s="3" customFormat="1" ht="15.75">
      <c r="A219" s="45" t="s">
        <v>26</v>
      </c>
      <c r="B219" s="19" t="s">
        <v>24</v>
      </c>
      <c r="C219" s="19" t="s">
        <v>9</v>
      </c>
      <c r="D219" s="19" t="s">
        <v>141</v>
      </c>
      <c r="E219" s="19"/>
      <c r="F219" s="14">
        <f>F220</f>
        <v>161.6</v>
      </c>
      <c r="G219" s="15">
        <f>G220</f>
        <v>7.519</v>
      </c>
      <c r="H219" s="15">
        <f>H220</f>
        <v>0</v>
      </c>
      <c r="I219" s="15">
        <f>I220</f>
        <v>0</v>
      </c>
    </row>
    <row r="220" spans="1:9" s="3" customFormat="1" ht="47.25">
      <c r="A220" s="45" t="s">
        <v>72</v>
      </c>
      <c r="B220" s="19" t="s">
        <v>24</v>
      </c>
      <c r="C220" s="19" t="s">
        <v>9</v>
      </c>
      <c r="D220" s="19" t="s">
        <v>141</v>
      </c>
      <c r="E220" s="19" t="s">
        <v>71</v>
      </c>
      <c r="F220" s="14">
        <f>220-8-34.5-15.9</f>
        <v>161.6</v>
      </c>
      <c r="G220" s="15">
        <f>150-100-41-1.481</f>
        <v>7.519</v>
      </c>
      <c r="H220" s="15"/>
      <c r="I220" s="15"/>
    </row>
    <row r="221" spans="1:9" s="52" customFormat="1" ht="15.75">
      <c r="A221" s="34" t="s">
        <v>27</v>
      </c>
      <c r="B221" s="9" t="s">
        <v>28</v>
      </c>
      <c r="C221" s="9"/>
      <c r="D221" s="9"/>
      <c r="E221" s="9"/>
      <c r="F221" s="11" t="e">
        <f>F222+F273+#REF!+#REF!</f>
        <v>#REF!</v>
      </c>
      <c r="G221" s="12">
        <f>G222+G273+G362+G317+G346</f>
        <v>162488.806</v>
      </c>
      <c r="H221" s="12">
        <f>H222+H273+H362+H317+H346</f>
        <v>157666.6</v>
      </c>
      <c r="I221" s="12">
        <f>I222+I273+I362+I317+I346</f>
        <v>159416.40000000002</v>
      </c>
    </row>
    <row r="222" spans="1:9" s="52" customFormat="1" ht="15.75">
      <c r="A222" s="34" t="s">
        <v>29</v>
      </c>
      <c r="B222" s="9" t="s">
        <v>28</v>
      </c>
      <c r="C222" s="9" t="s">
        <v>6</v>
      </c>
      <c r="D222" s="9"/>
      <c r="E222" s="9"/>
      <c r="F222" s="11" t="e">
        <f>F269+#REF!+#REF!</f>
        <v>#REF!</v>
      </c>
      <c r="G222" s="12">
        <f>G226+G269+G253</f>
        <v>37618.394</v>
      </c>
      <c r="H222" s="12">
        <f>H226+H269+H253</f>
        <v>37039.8</v>
      </c>
      <c r="I222" s="12">
        <f>I226+I269+I253</f>
        <v>37667</v>
      </c>
    </row>
    <row r="223" spans="1:9" s="3" customFormat="1" ht="83.25" customHeight="1" hidden="1">
      <c r="A223" s="69" t="s">
        <v>102</v>
      </c>
      <c r="B223" s="23" t="s">
        <v>28</v>
      </c>
      <c r="C223" s="23" t="s">
        <v>6</v>
      </c>
      <c r="D223" s="23" t="s">
        <v>101</v>
      </c>
      <c r="E223" s="23"/>
      <c r="F223" s="14"/>
      <c r="G223" s="15">
        <f>G225+G224</f>
        <v>0</v>
      </c>
      <c r="H223" s="15">
        <f>H225+H224</f>
        <v>0</v>
      </c>
      <c r="I223" s="15">
        <f>I225+I224</f>
        <v>0</v>
      </c>
    </row>
    <row r="224" spans="1:9" s="3" customFormat="1" ht="47.25" hidden="1">
      <c r="A224" s="40" t="s">
        <v>72</v>
      </c>
      <c r="B224" s="23" t="s">
        <v>28</v>
      </c>
      <c r="C224" s="23" t="s">
        <v>6</v>
      </c>
      <c r="D224" s="23" t="s">
        <v>101</v>
      </c>
      <c r="E224" s="23" t="s">
        <v>71</v>
      </c>
      <c r="F224" s="14"/>
      <c r="G224" s="15"/>
      <c r="H224" s="15"/>
      <c r="I224" s="15"/>
    </row>
    <row r="225" spans="1:9" s="3" customFormat="1" ht="31.5" hidden="1">
      <c r="A225" s="67" t="s">
        <v>62</v>
      </c>
      <c r="B225" s="23" t="s">
        <v>28</v>
      </c>
      <c r="C225" s="23" t="s">
        <v>6</v>
      </c>
      <c r="D225" s="23" t="s">
        <v>101</v>
      </c>
      <c r="E225" s="23" t="s">
        <v>61</v>
      </c>
      <c r="F225" s="14"/>
      <c r="G225" s="15"/>
      <c r="H225" s="15"/>
      <c r="I225" s="15"/>
    </row>
    <row r="226" spans="1:9" s="3" customFormat="1" ht="47.25">
      <c r="A226" s="58" t="s">
        <v>292</v>
      </c>
      <c r="B226" s="19" t="s">
        <v>28</v>
      </c>
      <c r="C226" s="19" t="s">
        <v>6</v>
      </c>
      <c r="D226" s="19" t="s">
        <v>147</v>
      </c>
      <c r="E226" s="19"/>
      <c r="F226" s="14"/>
      <c r="G226" s="15">
        <f>G227+G238+G251</f>
        <v>32645.647</v>
      </c>
      <c r="H226" s="15">
        <f>H227+H238+H251</f>
        <v>32257.800000000003</v>
      </c>
      <c r="I226" s="15">
        <f>I227+I238+I251</f>
        <v>32885</v>
      </c>
    </row>
    <row r="227" spans="1:9" s="3" customFormat="1" ht="31.5">
      <c r="A227" s="50" t="s">
        <v>212</v>
      </c>
      <c r="B227" s="19" t="s">
        <v>28</v>
      </c>
      <c r="C227" s="19" t="s">
        <v>6</v>
      </c>
      <c r="D227" s="19" t="s">
        <v>148</v>
      </c>
      <c r="E227" s="19"/>
      <c r="F227" s="14"/>
      <c r="G227" s="15">
        <f>G228+G229+G231+G235+G236+G230+G234+G237+G233+G232</f>
        <v>18017.647</v>
      </c>
      <c r="H227" s="15">
        <f>H228+H229+H231+H235+H236+H230+H234+H237+H233+H232</f>
        <v>17866.9</v>
      </c>
      <c r="I227" s="15">
        <f>I228+I229+I231+I235+I236+I230+I234+I237+I233+I232</f>
        <v>18181.9</v>
      </c>
    </row>
    <row r="228" spans="1:9" s="3" customFormat="1" ht="15.75">
      <c r="A228" s="64" t="s">
        <v>184</v>
      </c>
      <c r="B228" s="19" t="s">
        <v>28</v>
      </c>
      <c r="C228" s="19" t="s">
        <v>6</v>
      </c>
      <c r="D228" s="19" t="s">
        <v>148</v>
      </c>
      <c r="E228" s="19" t="s">
        <v>82</v>
      </c>
      <c r="F228" s="14"/>
      <c r="G228" s="20">
        <f>7001.6-54.45-21.687-72-9-10-4-23-68.516-38.5-8.5-7.7-9.262+80.263-14.35-39.032</f>
        <v>6701.866000000001</v>
      </c>
      <c r="H228" s="15">
        <v>7305.6</v>
      </c>
      <c r="I228" s="15">
        <v>7305.6</v>
      </c>
    </row>
    <row r="229" spans="1:9" s="3" customFormat="1" ht="47.25">
      <c r="A229" s="64" t="s">
        <v>79</v>
      </c>
      <c r="B229" s="19" t="s">
        <v>28</v>
      </c>
      <c r="C229" s="19" t="s">
        <v>6</v>
      </c>
      <c r="D229" s="19" t="s">
        <v>148</v>
      </c>
      <c r="E229" s="19" t="s">
        <v>63</v>
      </c>
      <c r="F229" s="14"/>
      <c r="G229" s="20">
        <f>43-4.4-0.559-0.75-0.1-0.27-0.26-2-16.29-4.03-1.947+72-4.34-3.109-4.3</f>
        <v>72.64500000000001</v>
      </c>
      <c r="H229" s="15">
        <v>45</v>
      </c>
      <c r="I229" s="15">
        <v>45</v>
      </c>
    </row>
    <row r="230" spans="1:9" s="3" customFormat="1" ht="63">
      <c r="A230" s="39" t="s">
        <v>185</v>
      </c>
      <c r="B230" s="19" t="s">
        <v>28</v>
      </c>
      <c r="C230" s="19" t="s">
        <v>6</v>
      </c>
      <c r="D230" s="19" t="s">
        <v>148</v>
      </c>
      <c r="E230" s="19" t="s">
        <v>146</v>
      </c>
      <c r="F230" s="14"/>
      <c r="G230" s="20">
        <f>2116.3+26.4+4+38.5+8.5+24.239+59.147+14.35</f>
        <v>2291.436</v>
      </c>
      <c r="H230" s="15">
        <v>2206.3</v>
      </c>
      <c r="I230" s="15">
        <v>2206.3</v>
      </c>
    </row>
    <row r="231" spans="1:9" s="3" customFormat="1" ht="47.25">
      <c r="A231" s="64" t="s">
        <v>72</v>
      </c>
      <c r="B231" s="19" t="s">
        <v>28</v>
      </c>
      <c r="C231" s="19" t="s">
        <v>6</v>
      </c>
      <c r="D231" s="19" t="s">
        <v>148</v>
      </c>
      <c r="E231" s="53" t="s">
        <v>71</v>
      </c>
      <c r="F231" s="14"/>
      <c r="G231" s="20">
        <f>8500+2+12.087+4.4-4.454+22.871+2+25+2-0.048+85-3.361+11-3.65+25-1.4-309.62-30-111.6+4.73+161+6.09+3.457+12.709+14.94-20-68.687-138+11.94-1.79+84.8+38-4.278+4.3</f>
        <v>8336.435999999996</v>
      </c>
      <c r="H231" s="15">
        <v>7970</v>
      </c>
      <c r="I231" s="15">
        <v>8275</v>
      </c>
    </row>
    <row r="232" spans="1:9" s="3" customFormat="1" ht="47.25">
      <c r="A232" s="40" t="s">
        <v>347</v>
      </c>
      <c r="B232" s="19" t="s">
        <v>28</v>
      </c>
      <c r="C232" s="19" t="s">
        <v>6</v>
      </c>
      <c r="D232" s="19" t="s">
        <v>148</v>
      </c>
      <c r="E232" s="53" t="s">
        <v>98</v>
      </c>
      <c r="F232" s="14"/>
      <c r="G232" s="20">
        <f>54.45+21.687+16.29+9+23+68.516+7.7+9.262+25.085+39.032</f>
        <v>274.022</v>
      </c>
      <c r="H232" s="15"/>
      <c r="I232" s="15"/>
    </row>
    <row r="233" spans="1:9" s="3" customFormat="1" ht="63">
      <c r="A233" s="75" t="s">
        <v>339</v>
      </c>
      <c r="B233" s="19" t="s">
        <v>28</v>
      </c>
      <c r="C233" s="19" t="s">
        <v>6</v>
      </c>
      <c r="D233" s="19" t="s">
        <v>148</v>
      </c>
      <c r="E233" s="53" t="s">
        <v>338</v>
      </c>
      <c r="F233" s="14"/>
      <c r="G233" s="20">
        <f>110-25</f>
        <v>85</v>
      </c>
      <c r="H233" s="15"/>
      <c r="I233" s="15"/>
    </row>
    <row r="234" spans="1:9" s="3" customFormat="1" ht="47.25">
      <c r="A234" s="75" t="s">
        <v>218</v>
      </c>
      <c r="B234" s="19" t="s">
        <v>28</v>
      </c>
      <c r="C234" s="19" t="s">
        <v>6</v>
      </c>
      <c r="D234" s="19" t="s">
        <v>148</v>
      </c>
      <c r="E234" s="53" t="s">
        <v>84</v>
      </c>
      <c r="F234" s="14"/>
      <c r="G234" s="20">
        <f>56.224+2+18.73+93.658</f>
        <v>170.612</v>
      </c>
      <c r="H234" s="15"/>
      <c r="I234" s="15"/>
    </row>
    <row r="235" spans="1:9" s="3" customFormat="1" ht="31.5">
      <c r="A235" s="75" t="s">
        <v>73</v>
      </c>
      <c r="B235" s="19" t="s">
        <v>28</v>
      </c>
      <c r="C235" s="19" t="s">
        <v>6</v>
      </c>
      <c r="D235" s="19" t="s">
        <v>148</v>
      </c>
      <c r="E235" s="53" t="s">
        <v>75</v>
      </c>
      <c r="F235" s="14"/>
      <c r="G235" s="20">
        <f>153.338-56.71-6.3-16.4-4.202-14.94-0.06-40.746-0.5-11.94-0.005-0.319</f>
        <v>1.2159999999999975</v>
      </c>
      <c r="H235" s="15">
        <v>340</v>
      </c>
      <c r="I235" s="15">
        <v>350</v>
      </c>
    </row>
    <row r="236" spans="1:9" s="3" customFormat="1" ht="31.5">
      <c r="A236" s="75" t="s">
        <v>80</v>
      </c>
      <c r="B236" s="19" t="s">
        <v>28</v>
      </c>
      <c r="C236" s="19" t="s">
        <v>6</v>
      </c>
      <c r="D236" s="19" t="s">
        <v>148</v>
      </c>
      <c r="E236" s="53" t="s">
        <v>83</v>
      </c>
      <c r="F236" s="14"/>
      <c r="G236" s="20">
        <f>0.75+6.3+4.202</f>
        <v>11.251999999999999</v>
      </c>
      <c r="H236" s="15"/>
      <c r="I236" s="15"/>
    </row>
    <row r="237" spans="1:9" s="3" customFormat="1" ht="15.75">
      <c r="A237" s="75" t="s">
        <v>204</v>
      </c>
      <c r="B237" s="19" t="s">
        <v>28</v>
      </c>
      <c r="C237" s="19" t="s">
        <v>6</v>
      </c>
      <c r="D237" s="19" t="s">
        <v>148</v>
      </c>
      <c r="E237" s="53" t="s">
        <v>202</v>
      </c>
      <c r="F237" s="14"/>
      <c r="G237" s="20">
        <f>72.208+0.09+0.077+0.06+0.5+0.227</f>
        <v>73.162</v>
      </c>
      <c r="H237" s="15"/>
      <c r="I237" s="15"/>
    </row>
    <row r="238" spans="1:9" s="3" customFormat="1" ht="47.25">
      <c r="A238" s="45" t="s">
        <v>259</v>
      </c>
      <c r="B238" s="23" t="s">
        <v>28</v>
      </c>
      <c r="C238" s="23" t="s">
        <v>6</v>
      </c>
      <c r="D238" s="23" t="s">
        <v>149</v>
      </c>
      <c r="E238" s="23"/>
      <c r="F238" s="14">
        <f>F240</f>
        <v>42</v>
      </c>
      <c r="G238" s="15">
        <f>G239+G244+G249</f>
        <v>14268</v>
      </c>
      <c r="H238" s="15">
        <f>H239+H244+H249</f>
        <v>14390.9</v>
      </c>
      <c r="I238" s="15">
        <f>I239+I244+I249</f>
        <v>14703.1</v>
      </c>
    </row>
    <row r="239" spans="1:9" s="3" customFormat="1" ht="78.75">
      <c r="A239" s="45" t="s">
        <v>260</v>
      </c>
      <c r="B239" s="23" t="s">
        <v>28</v>
      </c>
      <c r="C239" s="23" t="s">
        <v>6</v>
      </c>
      <c r="D239" s="23" t="s">
        <v>229</v>
      </c>
      <c r="E239" s="23"/>
      <c r="F239" s="14"/>
      <c r="G239" s="15">
        <f>G240+G241+G242+G243</f>
        <v>10959.2</v>
      </c>
      <c r="H239" s="15">
        <f>H240+H241+H242+H243</f>
        <v>10959.2</v>
      </c>
      <c r="I239" s="15">
        <f>I240+I241+I242+I243</f>
        <v>11084.3</v>
      </c>
    </row>
    <row r="240" spans="1:9" s="3" customFormat="1" ht="15.75">
      <c r="A240" s="64" t="s">
        <v>184</v>
      </c>
      <c r="B240" s="23" t="s">
        <v>28</v>
      </c>
      <c r="C240" s="23" t="s">
        <v>6</v>
      </c>
      <c r="D240" s="23" t="s">
        <v>229</v>
      </c>
      <c r="E240" s="23" t="s">
        <v>82</v>
      </c>
      <c r="F240" s="14">
        <v>42</v>
      </c>
      <c r="G240" s="15">
        <f>8417.2-20.44-19.51</f>
        <v>8377.25</v>
      </c>
      <c r="H240" s="15">
        <v>8417.2</v>
      </c>
      <c r="I240" s="15">
        <v>8513.3</v>
      </c>
    </row>
    <row r="241" spans="1:9" s="3" customFormat="1" ht="47.25">
      <c r="A241" s="64" t="s">
        <v>79</v>
      </c>
      <c r="B241" s="23" t="s">
        <v>28</v>
      </c>
      <c r="C241" s="23" t="s">
        <v>6</v>
      </c>
      <c r="D241" s="23" t="s">
        <v>229</v>
      </c>
      <c r="E241" s="23" t="s">
        <v>63</v>
      </c>
      <c r="F241" s="14"/>
      <c r="G241" s="15">
        <f>0.6</f>
        <v>0.6</v>
      </c>
      <c r="H241" s="15"/>
      <c r="I241" s="15"/>
    </row>
    <row r="242" spans="1:9" s="3" customFormat="1" ht="61.5" customHeight="1">
      <c r="A242" s="39" t="s">
        <v>185</v>
      </c>
      <c r="B242" s="23" t="s">
        <v>28</v>
      </c>
      <c r="C242" s="23" t="s">
        <v>6</v>
      </c>
      <c r="D242" s="23" t="s">
        <v>229</v>
      </c>
      <c r="E242" s="23" t="s">
        <v>146</v>
      </c>
      <c r="F242" s="14"/>
      <c r="G242" s="15">
        <f>2542-0.6</f>
        <v>2541.4</v>
      </c>
      <c r="H242" s="15">
        <v>2542</v>
      </c>
      <c r="I242" s="15">
        <v>2571</v>
      </c>
    </row>
    <row r="243" spans="1:9" s="3" customFormat="1" ht="47.25">
      <c r="A243" s="40" t="s">
        <v>347</v>
      </c>
      <c r="B243" s="23" t="s">
        <v>28</v>
      </c>
      <c r="C243" s="23" t="s">
        <v>6</v>
      </c>
      <c r="D243" s="23" t="s">
        <v>229</v>
      </c>
      <c r="E243" s="23" t="s">
        <v>98</v>
      </c>
      <c r="F243" s="14"/>
      <c r="G243" s="15">
        <f>20.44+19.51</f>
        <v>39.95</v>
      </c>
      <c r="H243" s="15"/>
      <c r="I243" s="15"/>
    </row>
    <row r="244" spans="1:9" s="3" customFormat="1" ht="61.5" customHeight="1">
      <c r="A244" s="32" t="s">
        <v>261</v>
      </c>
      <c r="B244" s="23" t="s">
        <v>28</v>
      </c>
      <c r="C244" s="23" t="s">
        <v>6</v>
      </c>
      <c r="D244" s="23" t="s">
        <v>230</v>
      </c>
      <c r="E244" s="23"/>
      <c r="F244" s="14"/>
      <c r="G244" s="15">
        <f>G245+G246+G247+G248</f>
        <v>3063.7999999999997</v>
      </c>
      <c r="H244" s="15">
        <f>H245+H246+H247+H248</f>
        <v>3063.7999999999997</v>
      </c>
      <c r="I244" s="15">
        <f>I245+I246+I247+I248</f>
        <v>3098.7</v>
      </c>
    </row>
    <row r="245" spans="1:9" s="3" customFormat="1" ht="15.75">
      <c r="A245" s="64" t="s">
        <v>184</v>
      </c>
      <c r="B245" s="23" t="s">
        <v>28</v>
      </c>
      <c r="C245" s="23" t="s">
        <v>6</v>
      </c>
      <c r="D245" s="23" t="s">
        <v>230</v>
      </c>
      <c r="E245" s="23" t="s">
        <v>82</v>
      </c>
      <c r="F245" s="14"/>
      <c r="G245" s="15">
        <f>2353.2-8</f>
        <v>2345.2</v>
      </c>
      <c r="H245" s="15">
        <v>2353.2</v>
      </c>
      <c r="I245" s="15">
        <v>2380</v>
      </c>
    </row>
    <row r="246" spans="1:9" s="3" customFormat="1" ht="47.25">
      <c r="A246" s="64" t="s">
        <v>79</v>
      </c>
      <c r="B246" s="23" t="s">
        <v>28</v>
      </c>
      <c r="C246" s="23" t="s">
        <v>6</v>
      </c>
      <c r="D246" s="23" t="s">
        <v>230</v>
      </c>
      <c r="E246" s="23" t="s">
        <v>63</v>
      </c>
      <c r="F246" s="14"/>
      <c r="G246" s="15">
        <f>0.3+0.3</f>
        <v>0.6</v>
      </c>
      <c r="H246" s="15"/>
      <c r="I246" s="15"/>
    </row>
    <row r="247" spans="1:9" s="3" customFormat="1" ht="61.5" customHeight="1">
      <c r="A247" s="39" t="s">
        <v>185</v>
      </c>
      <c r="B247" s="23" t="s">
        <v>28</v>
      </c>
      <c r="C247" s="23" t="s">
        <v>6</v>
      </c>
      <c r="D247" s="23" t="s">
        <v>230</v>
      </c>
      <c r="E247" s="23" t="s">
        <v>146</v>
      </c>
      <c r="F247" s="14"/>
      <c r="G247" s="15">
        <f>710.6-0.3-0.3-3.506</f>
        <v>706.4940000000001</v>
      </c>
      <c r="H247" s="15">
        <v>710.6</v>
      </c>
      <c r="I247" s="15">
        <v>718.7</v>
      </c>
    </row>
    <row r="248" spans="1:9" s="3" customFormat="1" ht="47.25">
      <c r="A248" s="40" t="s">
        <v>347</v>
      </c>
      <c r="B248" s="23" t="s">
        <v>28</v>
      </c>
      <c r="C248" s="23" t="s">
        <v>6</v>
      </c>
      <c r="D248" s="23" t="s">
        <v>230</v>
      </c>
      <c r="E248" s="23" t="s">
        <v>98</v>
      </c>
      <c r="F248" s="14"/>
      <c r="G248" s="15">
        <f>8+3.506</f>
        <v>11.506</v>
      </c>
      <c r="H248" s="15"/>
      <c r="I248" s="15"/>
    </row>
    <row r="249" spans="1:9" s="3" customFormat="1" ht="68.25" customHeight="1">
      <c r="A249" s="32" t="s">
        <v>262</v>
      </c>
      <c r="B249" s="23" t="s">
        <v>28</v>
      </c>
      <c r="C249" s="23" t="s">
        <v>6</v>
      </c>
      <c r="D249" s="23" t="s">
        <v>231</v>
      </c>
      <c r="E249" s="23"/>
      <c r="F249" s="14"/>
      <c r="G249" s="15">
        <f>G250</f>
        <v>245</v>
      </c>
      <c r="H249" s="15">
        <f>H250</f>
        <v>367.9</v>
      </c>
      <c r="I249" s="15">
        <f>I250</f>
        <v>520.1</v>
      </c>
    </row>
    <row r="250" spans="1:9" s="3" customFormat="1" ht="51" customHeight="1">
      <c r="A250" s="64" t="s">
        <v>72</v>
      </c>
      <c r="B250" s="23" t="s">
        <v>28</v>
      </c>
      <c r="C250" s="23" t="s">
        <v>6</v>
      </c>
      <c r="D250" s="23" t="s">
        <v>231</v>
      </c>
      <c r="E250" s="23" t="s">
        <v>71</v>
      </c>
      <c r="F250" s="14"/>
      <c r="G250" s="15">
        <v>245</v>
      </c>
      <c r="H250" s="15">
        <v>367.9</v>
      </c>
      <c r="I250" s="15">
        <v>520.1</v>
      </c>
    </row>
    <row r="251" spans="1:9" s="3" customFormat="1" ht="78.75">
      <c r="A251" s="64" t="s">
        <v>207</v>
      </c>
      <c r="B251" s="23" t="s">
        <v>28</v>
      </c>
      <c r="C251" s="23" t="s">
        <v>6</v>
      </c>
      <c r="D251" s="23" t="s">
        <v>350</v>
      </c>
      <c r="E251" s="23"/>
      <c r="F251" s="14"/>
      <c r="G251" s="15">
        <f>G252</f>
        <v>360</v>
      </c>
      <c r="H251" s="15">
        <f>H252</f>
        <v>0</v>
      </c>
      <c r="I251" s="15">
        <f>I252</f>
        <v>0</v>
      </c>
    </row>
    <row r="252" spans="1:9" s="3" customFormat="1" ht="50.25" customHeight="1">
      <c r="A252" s="64" t="s">
        <v>72</v>
      </c>
      <c r="B252" s="23" t="s">
        <v>28</v>
      </c>
      <c r="C252" s="23" t="s">
        <v>6</v>
      </c>
      <c r="D252" s="23" t="s">
        <v>350</v>
      </c>
      <c r="E252" s="23" t="s">
        <v>71</v>
      </c>
      <c r="F252" s="14"/>
      <c r="G252" s="15">
        <v>360</v>
      </c>
      <c r="H252" s="15"/>
      <c r="I252" s="15"/>
    </row>
    <row r="253" spans="1:9" s="3" customFormat="1" ht="48" customHeight="1">
      <c r="A253" s="37" t="s">
        <v>294</v>
      </c>
      <c r="B253" s="19" t="s">
        <v>28</v>
      </c>
      <c r="C253" s="19" t="s">
        <v>6</v>
      </c>
      <c r="D253" s="19" t="s">
        <v>152</v>
      </c>
      <c r="E253" s="19"/>
      <c r="F253" s="14"/>
      <c r="G253" s="15">
        <f>G258+G254</f>
        <v>4972.747</v>
      </c>
      <c r="H253" s="15">
        <f>H258+H254</f>
        <v>4782</v>
      </c>
      <c r="I253" s="15">
        <f>I258+I254</f>
        <v>4782</v>
      </c>
    </row>
    <row r="254" spans="1:9" s="3" customFormat="1" ht="31.5">
      <c r="A254" s="40" t="s">
        <v>211</v>
      </c>
      <c r="B254" s="19" t="s">
        <v>28</v>
      </c>
      <c r="C254" s="19" t="s">
        <v>6</v>
      </c>
      <c r="D254" s="19" t="s">
        <v>153</v>
      </c>
      <c r="E254" s="19"/>
      <c r="F254" s="14"/>
      <c r="G254" s="15">
        <f>G257+G256+G255</f>
        <v>1300.747</v>
      </c>
      <c r="H254" s="15">
        <f>H257+H256+H255</f>
        <v>1110</v>
      </c>
      <c r="I254" s="15">
        <f>I257+I256+I255</f>
        <v>1110</v>
      </c>
    </row>
    <row r="255" spans="1:9" s="3" customFormat="1" ht="15.75">
      <c r="A255" s="64" t="s">
        <v>184</v>
      </c>
      <c r="B255" s="19" t="s">
        <v>28</v>
      </c>
      <c r="C255" s="19" t="s">
        <v>6</v>
      </c>
      <c r="D255" s="19" t="s">
        <v>153</v>
      </c>
      <c r="E255" s="19" t="s">
        <v>82</v>
      </c>
      <c r="F255" s="14"/>
      <c r="G255" s="15">
        <v>143.4</v>
      </c>
      <c r="H255" s="15"/>
      <c r="I255" s="15"/>
    </row>
    <row r="256" spans="1:9" s="3" customFormat="1" ht="48" customHeight="1">
      <c r="A256" s="39" t="s">
        <v>185</v>
      </c>
      <c r="B256" s="19" t="s">
        <v>28</v>
      </c>
      <c r="C256" s="19" t="s">
        <v>6</v>
      </c>
      <c r="D256" s="19" t="s">
        <v>153</v>
      </c>
      <c r="E256" s="19" t="s">
        <v>146</v>
      </c>
      <c r="F256" s="14"/>
      <c r="G256" s="15">
        <f>44.047-0.359+0.359+43.3</f>
        <v>87.347</v>
      </c>
      <c r="H256" s="15"/>
      <c r="I256" s="15"/>
    </row>
    <row r="257" spans="1:9" s="3" customFormat="1" ht="53.25" customHeight="1">
      <c r="A257" s="64" t="s">
        <v>72</v>
      </c>
      <c r="B257" s="19" t="s">
        <v>28</v>
      </c>
      <c r="C257" s="19" t="s">
        <v>6</v>
      </c>
      <c r="D257" s="19" t="s">
        <v>153</v>
      </c>
      <c r="E257" s="19" t="s">
        <v>71</v>
      </c>
      <c r="F257" s="14"/>
      <c r="G257" s="15">
        <f>1110-70+10+20</f>
        <v>1070</v>
      </c>
      <c r="H257" s="15">
        <v>1110</v>
      </c>
      <c r="I257" s="15">
        <v>1110</v>
      </c>
    </row>
    <row r="258" spans="1:9" s="3" customFormat="1" ht="78.75">
      <c r="A258" s="32" t="s">
        <v>263</v>
      </c>
      <c r="B258" s="19" t="s">
        <v>28</v>
      </c>
      <c r="C258" s="19" t="s">
        <v>6</v>
      </c>
      <c r="D258" s="19" t="s">
        <v>232</v>
      </c>
      <c r="E258" s="19"/>
      <c r="F258" s="14"/>
      <c r="G258" s="15">
        <f>G259+G263+G267</f>
        <v>3672</v>
      </c>
      <c r="H258" s="15">
        <f>H259+H263+H267</f>
        <v>3672</v>
      </c>
      <c r="I258" s="15">
        <f>I259+I263+I267</f>
        <v>3672</v>
      </c>
    </row>
    <row r="259" spans="1:9" s="3" customFormat="1" ht="110.25">
      <c r="A259" s="32" t="s">
        <v>264</v>
      </c>
      <c r="B259" s="19" t="s">
        <v>28</v>
      </c>
      <c r="C259" s="19" t="s">
        <v>6</v>
      </c>
      <c r="D259" s="19" t="s">
        <v>233</v>
      </c>
      <c r="E259" s="19"/>
      <c r="F259" s="14"/>
      <c r="G259" s="15">
        <f>G260+G261+G262</f>
        <v>2728.9</v>
      </c>
      <c r="H259" s="15">
        <f>H260+H261+H262</f>
        <v>2728.9</v>
      </c>
      <c r="I259" s="15">
        <f>I260+I261+I262</f>
        <v>2728.9</v>
      </c>
    </row>
    <row r="260" spans="1:9" s="3" customFormat="1" ht="15.75">
      <c r="A260" s="64" t="s">
        <v>184</v>
      </c>
      <c r="B260" s="19" t="s">
        <v>28</v>
      </c>
      <c r="C260" s="19" t="s">
        <v>6</v>
      </c>
      <c r="D260" s="19" t="s">
        <v>233</v>
      </c>
      <c r="E260" s="19" t="s">
        <v>82</v>
      </c>
      <c r="F260" s="14"/>
      <c r="G260" s="15">
        <f>2095.9-43.219</f>
        <v>2052.681</v>
      </c>
      <c r="H260" s="15">
        <v>2095.9</v>
      </c>
      <c r="I260" s="15">
        <v>2095.9</v>
      </c>
    </row>
    <row r="261" spans="1:9" s="3" customFormat="1" ht="63">
      <c r="A261" s="87" t="s">
        <v>185</v>
      </c>
      <c r="B261" s="19" t="s">
        <v>28</v>
      </c>
      <c r="C261" s="19" t="s">
        <v>6</v>
      </c>
      <c r="D261" s="19" t="s">
        <v>233</v>
      </c>
      <c r="E261" s="19" t="s">
        <v>146</v>
      </c>
      <c r="F261" s="14"/>
      <c r="G261" s="15">
        <v>633</v>
      </c>
      <c r="H261" s="15">
        <v>633</v>
      </c>
      <c r="I261" s="15">
        <v>633</v>
      </c>
    </row>
    <row r="262" spans="1:9" s="3" customFormat="1" ht="47.25">
      <c r="A262" s="40" t="s">
        <v>347</v>
      </c>
      <c r="B262" s="19" t="s">
        <v>28</v>
      </c>
      <c r="C262" s="19" t="s">
        <v>6</v>
      </c>
      <c r="D262" s="19" t="s">
        <v>233</v>
      </c>
      <c r="E262" s="19" t="s">
        <v>98</v>
      </c>
      <c r="F262" s="14"/>
      <c r="G262" s="15">
        <f>43.219</f>
        <v>43.219</v>
      </c>
      <c r="H262" s="15"/>
      <c r="I262" s="15"/>
    </row>
    <row r="263" spans="1:9" s="3" customFormat="1" ht="110.25">
      <c r="A263" s="38" t="s">
        <v>265</v>
      </c>
      <c r="B263" s="19" t="s">
        <v>28</v>
      </c>
      <c r="C263" s="19" t="s">
        <v>6</v>
      </c>
      <c r="D263" s="19" t="s">
        <v>234</v>
      </c>
      <c r="E263" s="23"/>
      <c r="F263" s="14"/>
      <c r="G263" s="15">
        <f>G264+G266+G265</f>
        <v>917.1</v>
      </c>
      <c r="H263" s="15">
        <f>H264+H266+H265</f>
        <v>917.0999999999999</v>
      </c>
      <c r="I263" s="15">
        <f>I264+I266+I265</f>
        <v>917.0999999999999</v>
      </c>
    </row>
    <row r="264" spans="1:9" s="3" customFormat="1" ht="15.75">
      <c r="A264" s="64" t="s">
        <v>184</v>
      </c>
      <c r="B264" s="19" t="s">
        <v>28</v>
      </c>
      <c r="C264" s="19" t="s">
        <v>6</v>
      </c>
      <c r="D264" s="19" t="s">
        <v>234</v>
      </c>
      <c r="E264" s="19" t="s">
        <v>82</v>
      </c>
      <c r="F264" s="14"/>
      <c r="G264" s="15">
        <f>704.4+1.181</f>
        <v>705.581</v>
      </c>
      <c r="H264" s="15">
        <v>704.4</v>
      </c>
      <c r="I264" s="15">
        <v>704.4</v>
      </c>
    </row>
    <row r="265" spans="1:9" s="3" customFormat="1" ht="47.25" hidden="1">
      <c r="A265" s="40" t="s">
        <v>79</v>
      </c>
      <c r="B265" s="19" t="s">
        <v>28</v>
      </c>
      <c r="C265" s="19" t="s">
        <v>6</v>
      </c>
      <c r="D265" s="19" t="s">
        <v>234</v>
      </c>
      <c r="E265" s="19" t="s">
        <v>63</v>
      </c>
      <c r="F265" s="14"/>
      <c r="G265" s="15"/>
      <c r="H265" s="15"/>
      <c r="I265" s="15"/>
    </row>
    <row r="266" spans="1:9" s="3" customFormat="1" ht="63">
      <c r="A266" s="87" t="s">
        <v>185</v>
      </c>
      <c r="B266" s="19" t="s">
        <v>28</v>
      </c>
      <c r="C266" s="19" t="s">
        <v>6</v>
      </c>
      <c r="D266" s="19" t="s">
        <v>234</v>
      </c>
      <c r="E266" s="19" t="s">
        <v>146</v>
      </c>
      <c r="F266" s="14"/>
      <c r="G266" s="15">
        <f>212.7-1.181</f>
        <v>211.51899999999998</v>
      </c>
      <c r="H266" s="15">
        <v>212.7</v>
      </c>
      <c r="I266" s="15">
        <v>212.7</v>
      </c>
    </row>
    <row r="267" spans="1:9" s="3" customFormat="1" ht="99" customHeight="1">
      <c r="A267" s="38" t="s">
        <v>266</v>
      </c>
      <c r="B267" s="19" t="s">
        <v>28</v>
      </c>
      <c r="C267" s="19" t="s">
        <v>6</v>
      </c>
      <c r="D267" s="19" t="s">
        <v>241</v>
      </c>
      <c r="E267" s="19"/>
      <c r="F267" s="14"/>
      <c r="G267" s="15">
        <f>G268</f>
        <v>26</v>
      </c>
      <c r="H267" s="15">
        <f>H268</f>
        <v>26</v>
      </c>
      <c r="I267" s="15">
        <f>I268</f>
        <v>26</v>
      </c>
    </row>
    <row r="268" spans="1:9" s="3" customFormat="1" ht="47.25">
      <c r="A268" s="40" t="s">
        <v>72</v>
      </c>
      <c r="B268" s="19" t="s">
        <v>28</v>
      </c>
      <c r="C268" s="19" t="s">
        <v>6</v>
      </c>
      <c r="D268" s="19" t="s">
        <v>241</v>
      </c>
      <c r="E268" s="19" t="s">
        <v>71</v>
      </c>
      <c r="F268" s="14"/>
      <c r="G268" s="15">
        <v>26</v>
      </c>
      <c r="H268" s="15">
        <v>26</v>
      </c>
      <c r="I268" s="15">
        <v>26</v>
      </c>
    </row>
    <row r="269" spans="1:9" s="3" customFormat="1" ht="31.5" hidden="1">
      <c r="A269" s="39" t="s">
        <v>74</v>
      </c>
      <c r="B269" s="19" t="s">
        <v>28</v>
      </c>
      <c r="C269" s="19" t="s">
        <v>6</v>
      </c>
      <c r="D269" s="19" t="s">
        <v>116</v>
      </c>
      <c r="E269" s="19"/>
      <c r="F269" s="14" t="e">
        <f>#REF!</f>
        <v>#REF!</v>
      </c>
      <c r="G269" s="15">
        <f>G270</f>
        <v>0</v>
      </c>
      <c r="H269" s="15">
        <f>H270</f>
        <v>0</v>
      </c>
      <c r="I269" s="15">
        <f>I270</f>
        <v>0</v>
      </c>
    </row>
    <row r="270" spans="1:9" s="3" customFormat="1" ht="81" customHeight="1" hidden="1">
      <c r="A270" s="50" t="s">
        <v>267</v>
      </c>
      <c r="B270" s="19" t="s">
        <v>28</v>
      </c>
      <c r="C270" s="19" t="s">
        <v>6</v>
      </c>
      <c r="D270" s="19" t="s">
        <v>198</v>
      </c>
      <c r="E270" s="19"/>
      <c r="F270" s="14"/>
      <c r="G270" s="15">
        <f>G271+G272</f>
        <v>0</v>
      </c>
      <c r="H270" s="15">
        <f>H271+H272</f>
        <v>0</v>
      </c>
      <c r="I270" s="15">
        <f>I271+I272</f>
        <v>0</v>
      </c>
    </row>
    <row r="271" spans="1:9" s="3" customFormat="1" ht="15.75" hidden="1">
      <c r="A271" s="64" t="s">
        <v>184</v>
      </c>
      <c r="B271" s="19" t="s">
        <v>28</v>
      </c>
      <c r="C271" s="19" t="s">
        <v>6</v>
      </c>
      <c r="D271" s="19" t="s">
        <v>198</v>
      </c>
      <c r="E271" s="19" t="s">
        <v>82</v>
      </c>
      <c r="F271" s="14"/>
      <c r="G271" s="15"/>
      <c r="H271" s="15"/>
      <c r="I271" s="15"/>
    </row>
    <row r="272" spans="1:9" s="3" customFormat="1" ht="63" hidden="1">
      <c r="A272" s="39" t="s">
        <v>185</v>
      </c>
      <c r="B272" s="19" t="s">
        <v>28</v>
      </c>
      <c r="C272" s="19" t="s">
        <v>6</v>
      </c>
      <c r="D272" s="19" t="s">
        <v>198</v>
      </c>
      <c r="E272" s="19" t="s">
        <v>146</v>
      </c>
      <c r="F272" s="14"/>
      <c r="G272" s="15"/>
      <c r="H272" s="15"/>
      <c r="I272" s="15"/>
    </row>
    <row r="273" spans="1:9" s="52" customFormat="1" ht="15.75">
      <c r="A273" s="34" t="s">
        <v>30</v>
      </c>
      <c r="B273" s="9" t="s">
        <v>28</v>
      </c>
      <c r="C273" s="9" t="s">
        <v>7</v>
      </c>
      <c r="D273" s="9"/>
      <c r="E273" s="9"/>
      <c r="F273" s="11" t="e">
        <f>F279+F334+#REF!+#REF!</f>
        <v>#REF!</v>
      </c>
      <c r="G273" s="12">
        <f>G279+G309+G274</f>
        <v>113802.57800000001</v>
      </c>
      <c r="H273" s="12">
        <f>H279+H309+H274</f>
        <v>109031.09999999999</v>
      </c>
      <c r="I273" s="12">
        <f>I279+I309+I274</f>
        <v>110053.7</v>
      </c>
    </row>
    <row r="274" spans="1:9" s="52" customFormat="1" ht="47.25" hidden="1">
      <c r="A274" s="80" t="s">
        <v>295</v>
      </c>
      <c r="B274" s="23" t="s">
        <v>28</v>
      </c>
      <c r="C274" s="23" t="s">
        <v>7</v>
      </c>
      <c r="D274" s="23" t="s">
        <v>179</v>
      </c>
      <c r="E274" s="23"/>
      <c r="F274" s="25"/>
      <c r="G274" s="26">
        <f aca="true" t="shared" si="17" ref="G274:I276">G275</f>
        <v>0</v>
      </c>
      <c r="H274" s="26">
        <f t="shared" si="17"/>
        <v>0</v>
      </c>
      <c r="I274" s="26">
        <f t="shared" si="17"/>
        <v>0</v>
      </c>
    </row>
    <row r="275" spans="1:9" s="52" customFormat="1" ht="99.75" customHeight="1" hidden="1">
      <c r="A275" s="40" t="s">
        <v>247</v>
      </c>
      <c r="B275" s="19" t="s">
        <v>28</v>
      </c>
      <c r="C275" s="19" t="s">
        <v>7</v>
      </c>
      <c r="D275" s="23" t="s">
        <v>245</v>
      </c>
      <c r="E275" s="23"/>
      <c r="F275" s="25"/>
      <c r="G275" s="26">
        <f t="shared" si="17"/>
        <v>0</v>
      </c>
      <c r="H275" s="26">
        <f t="shared" si="17"/>
        <v>0</v>
      </c>
      <c r="I275" s="26">
        <f t="shared" si="17"/>
        <v>0</v>
      </c>
    </row>
    <row r="276" spans="1:9" s="52" customFormat="1" ht="78.75" hidden="1">
      <c r="A276" s="40" t="s">
        <v>248</v>
      </c>
      <c r="B276" s="19" t="s">
        <v>28</v>
      </c>
      <c r="C276" s="19" t="s">
        <v>7</v>
      </c>
      <c r="D276" s="23" t="s">
        <v>246</v>
      </c>
      <c r="E276" s="23"/>
      <c r="F276" s="25"/>
      <c r="G276" s="26">
        <f>G277</f>
        <v>0</v>
      </c>
      <c r="H276" s="26">
        <f t="shared" si="17"/>
        <v>0</v>
      </c>
      <c r="I276" s="26">
        <f t="shared" si="17"/>
        <v>0</v>
      </c>
    </row>
    <row r="277" spans="1:9" s="52" customFormat="1" ht="66.75" customHeight="1" hidden="1">
      <c r="A277" s="40" t="s">
        <v>268</v>
      </c>
      <c r="B277" s="19" t="s">
        <v>28</v>
      </c>
      <c r="C277" s="19" t="s">
        <v>7</v>
      </c>
      <c r="D277" s="23" t="s">
        <v>249</v>
      </c>
      <c r="E277" s="23"/>
      <c r="F277" s="25"/>
      <c r="G277" s="26">
        <f>G278</f>
        <v>0</v>
      </c>
      <c r="H277" s="26">
        <f>H278</f>
        <v>0</v>
      </c>
      <c r="I277" s="26">
        <f>I278</f>
        <v>0</v>
      </c>
    </row>
    <row r="278" spans="1:9" s="52" customFormat="1" ht="47.25" hidden="1">
      <c r="A278" s="40" t="s">
        <v>72</v>
      </c>
      <c r="B278" s="19" t="s">
        <v>28</v>
      </c>
      <c r="C278" s="19" t="s">
        <v>7</v>
      </c>
      <c r="D278" s="23" t="s">
        <v>249</v>
      </c>
      <c r="E278" s="23" t="s">
        <v>71</v>
      </c>
      <c r="F278" s="25"/>
      <c r="G278" s="26"/>
      <c r="H278" s="26"/>
      <c r="I278" s="26"/>
    </row>
    <row r="279" spans="1:9" s="3" customFormat="1" ht="47.25">
      <c r="A279" s="58" t="s">
        <v>294</v>
      </c>
      <c r="B279" s="19" t="s">
        <v>28</v>
      </c>
      <c r="C279" s="19" t="s">
        <v>7</v>
      </c>
      <c r="D279" s="19" t="s">
        <v>152</v>
      </c>
      <c r="E279" s="19"/>
      <c r="F279" s="14">
        <f>F289</f>
        <v>47835</v>
      </c>
      <c r="G279" s="15">
        <f>G280+G292+G305+G307</f>
        <v>106791.543</v>
      </c>
      <c r="H279" s="15">
        <f>H280+H292+H305+H307</f>
        <v>105053.09999999999</v>
      </c>
      <c r="I279" s="15">
        <f>I280+I292+I305+I307</f>
        <v>106075.7</v>
      </c>
    </row>
    <row r="280" spans="1:9" s="3" customFormat="1" ht="31.5">
      <c r="A280" s="40" t="s">
        <v>211</v>
      </c>
      <c r="B280" s="19" t="s">
        <v>28</v>
      </c>
      <c r="C280" s="19" t="s">
        <v>7</v>
      </c>
      <c r="D280" s="19" t="s">
        <v>153</v>
      </c>
      <c r="E280" s="19"/>
      <c r="F280" s="14">
        <f>F282</f>
        <v>47835</v>
      </c>
      <c r="G280" s="15">
        <f>G282+G285+G289+G290+G288+G281+G283+G291+G287+G284+G286</f>
        <v>21526.843000000008</v>
      </c>
      <c r="H280" s="15">
        <f>H282+H285+H289+H290+H288+H281+H283+H291+H287+H284+H286</f>
        <v>18870</v>
      </c>
      <c r="I280" s="15">
        <f>I282+I285+I289+I290+I288+I281+I283+I291+I287+I284+I286</f>
        <v>19070</v>
      </c>
    </row>
    <row r="281" spans="1:9" s="3" customFormat="1" ht="15.75">
      <c r="A281" s="32" t="s">
        <v>184</v>
      </c>
      <c r="B281" s="19" t="s">
        <v>28</v>
      </c>
      <c r="C281" s="19" t="s">
        <v>7</v>
      </c>
      <c r="D281" s="19" t="s">
        <v>153</v>
      </c>
      <c r="E281" s="19" t="s">
        <v>82</v>
      </c>
      <c r="F281" s="14"/>
      <c r="G281" s="15">
        <f>73.073+413.65</f>
        <v>486.72299999999996</v>
      </c>
      <c r="H281" s="15"/>
      <c r="I281" s="15"/>
    </row>
    <row r="282" spans="1:9" s="3" customFormat="1" ht="47.25">
      <c r="A282" s="40" t="s">
        <v>79</v>
      </c>
      <c r="B282" s="19" t="s">
        <v>28</v>
      </c>
      <c r="C282" s="19" t="s">
        <v>7</v>
      </c>
      <c r="D282" s="19" t="s">
        <v>153</v>
      </c>
      <c r="E282" s="19" t="s">
        <v>63</v>
      </c>
      <c r="F282" s="14">
        <f>46925+710+200</f>
        <v>47835</v>
      </c>
      <c r="G282" s="15">
        <f>175-10-0.743-5.1-12.33-1.82-0.49-3.45-0.13-5-2.85-9.3-7.19+7-1.894-2.59-3.67-5.05-6-8.58-9.56+1-14.49-1.33-10.2-14.617-17.647</f>
        <v>28.969000000000015</v>
      </c>
      <c r="H282" s="15">
        <v>180</v>
      </c>
      <c r="I282" s="15">
        <v>180</v>
      </c>
    </row>
    <row r="283" spans="1:9" s="3" customFormat="1" ht="63" hidden="1">
      <c r="A283" s="64" t="s">
        <v>206</v>
      </c>
      <c r="B283" s="19" t="s">
        <v>28</v>
      </c>
      <c r="C283" s="19" t="s">
        <v>7</v>
      </c>
      <c r="D283" s="19" t="s">
        <v>153</v>
      </c>
      <c r="E283" s="19" t="s">
        <v>205</v>
      </c>
      <c r="F283" s="14"/>
      <c r="G283" s="15"/>
      <c r="H283" s="15"/>
      <c r="I283" s="15"/>
    </row>
    <row r="284" spans="1:9" s="3" customFormat="1" ht="63">
      <c r="A284" s="87" t="s">
        <v>185</v>
      </c>
      <c r="B284" s="19" t="s">
        <v>28</v>
      </c>
      <c r="C284" s="19" t="s">
        <v>7</v>
      </c>
      <c r="D284" s="19" t="s">
        <v>153</v>
      </c>
      <c r="E284" s="19" t="s">
        <v>146</v>
      </c>
      <c r="F284" s="14"/>
      <c r="G284" s="15">
        <f>358.544+0.359-0.304+22.068+17.5</f>
        <v>398.167</v>
      </c>
      <c r="H284" s="15"/>
      <c r="I284" s="15"/>
    </row>
    <row r="285" spans="1:9" s="3" customFormat="1" ht="47.25">
      <c r="A285" s="40" t="s">
        <v>72</v>
      </c>
      <c r="B285" s="19" t="s">
        <v>28</v>
      </c>
      <c r="C285" s="19" t="s">
        <v>7</v>
      </c>
      <c r="D285" s="19" t="s">
        <v>153</v>
      </c>
      <c r="E285" s="19" t="s">
        <v>71</v>
      </c>
      <c r="F285" s="14">
        <f>F289</f>
        <v>47835</v>
      </c>
      <c r="G285" s="20">
        <f>19078.616+549.6+110+6+6+23.42-3.596+9.33-4+87.3+22.686+177.615+6-171.005-104.502+22.665-28.838-64.495+8+56.101</f>
        <v>19786.897</v>
      </c>
      <c r="H285" s="20">
        <f>18800-1110</f>
        <v>17690</v>
      </c>
      <c r="I285" s="20">
        <f>19000-1110</f>
        <v>17890</v>
      </c>
    </row>
    <row r="286" spans="1:9" s="3" customFormat="1" ht="47.25">
      <c r="A286" s="40" t="s">
        <v>347</v>
      </c>
      <c r="B286" s="19" t="s">
        <v>28</v>
      </c>
      <c r="C286" s="19" t="s">
        <v>7</v>
      </c>
      <c r="D286" s="19" t="s">
        <v>153</v>
      </c>
      <c r="E286" s="19" t="s">
        <v>98</v>
      </c>
      <c r="F286" s="14"/>
      <c r="G286" s="20">
        <f>35.206+3.811+11.465+9</f>
        <v>59.482</v>
      </c>
      <c r="H286" s="20"/>
      <c r="I286" s="20"/>
    </row>
    <row r="287" spans="1:9" s="3" customFormat="1" ht="63">
      <c r="A287" s="75" t="s">
        <v>339</v>
      </c>
      <c r="B287" s="19" t="s">
        <v>28</v>
      </c>
      <c r="C287" s="19" t="s">
        <v>7</v>
      </c>
      <c r="D287" s="19" t="s">
        <v>153</v>
      </c>
      <c r="E287" s="19" t="s">
        <v>338</v>
      </c>
      <c r="F287" s="14"/>
      <c r="G287" s="20">
        <v>30.36</v>
      </c>
      <c r="H287" s="20"/>
      <c r="I287" s="20"/>
    </row>
    <row r="288" spans="1:9" s="3" customFormat="1" ht="47.25">
      <c r="A288" s="75" t="s">
        <v>218</v>
      </c>
      <c r="B288" s="19" t="s">
        <v>28</v>
      </c>
      <c r="C288" s="19" t="s">
        <v>7</v>
      </c>
      <c r="D288" s="19" t="s">
        <v>153</v>
      </c>
      <c r="E288" s="19" t="s">
        <v>84</v>
      </c>
      <c r="F288" s="14"/>
      <c r="G288" s="20">
        <f>165.673-2+135.51+195.051+28.838</f>
        <v>523.072</v>
      </c>
      <c r="H288" s="20"/>
      <c r="I288" s="20"/>
    </row>
    <row r="289" spans="1:9" s="3" customFormat="1" ht="31.5">
      <c r="A289" s="40" t="s">
        <v>73</v>
      </c>
      <c r="B289" s="19" t="s">
        <v>28</v>
      </c>
      <c r="C289" s="19" t="s">
        <v>7</v>
      </c>
      <c r="D289" s="19" t="s">
        <v>153</v>
      </c>
      <c r="E289" s="19" t="s">
        <v>75</v>
      </c>
      <c r="F289" s="14">
        <f>46925+710+200</f>
        <v>47835</v>
      </c>
      <c r="G289" s="20">
        <f>1000-0.064-0.7-101.4-1.33-35.206-6.038-7.5-1.38-2-15.25-1.04-3.16-9-11.96-587.17+48.51-0.63-8-0.052-80-35.472-6-0.606-18.615-0.02-8.271-0.106-12.66-2.056</f>
        <v>92.82400000000001</v>
      </c>
      <c r="H289" s="20">
        <v>1000</v>
      </c>
      <c r="I289" s="20">
        <v>1000</v>
      </c>
    </row>
    <row r="290" spans="1:9" s="3" customFormat="1" ht="31.5">
      <c r="A290" s="45" t="s">
        <v>80</v>
      </c>
      <c r="B290" s="19" t="s">
        <v>28</v>
      </c>
      <c r="C290" s="19" t="s">
        <v>7</v>
      </c>
      <c r="D290" s="19" t="s">
        <v>153</v>
      </c>
      <c r="E290" s="53" t="s">
        <v>83</v>
      </c>
      <c r="F290" s="14"/>
      <c r="G290" s="20">
        <f>2+5.7+60+7.5+6+6+0.606+2</f>
        <v>89.806</v>
      </c>
      <c r="H290" s="20"/>
      <c r="I290" s="20"/>
    </row>
    <row r="291" spans="1:9" s="3" customFormat="1" ht="15.75">
      <c r="A291" s="75" t="s">
        <v>204</v>
      </c>
      <c r="B291" s="19" t="s">
        <v>28</v>
      </c>
      <c r="C291" s="19" t="s">
        <v>7</v>
      </c>
      <c r="D291" s="19" t="s">
        <v>153</v>
      </c>
      <c r="E291" s="53" t="s">
        <v>202</v>
      </c>
      <c r="F291" s="14"/>
      <c r="G291" s="20">
        <f>0.777+1.19+2.38+0.13+4.07+6.14+1.041+13.81+0.54+0.052+0.02+0.106+0.195+0.092</f>
        <v>30.543000000000003</v>
      </c>
      <c r="H291" s="20"/>
      <c r="I291" s="20"/>
    </row>
    <row r="292" spans="1:9" s="3" customFormat="1" ht="47.25">
      <c r="A292" s="45" t="s">
        <v>269</v>
      </c>
      <c r="B292" s="23" t="s">
        <v>28</v>
      </c>
      <c r="C292" s="23" t="s">
        <v>7</v>
      </c>
      <c r="D292" s="23" t="s">
        <v>154</v>
      </c>
      <c r="E292" s="23"/>
      <c r="F292" s="14">
        <f>F310</f>
        <v>0</v>
      </c>
      <c r="G292" s="15">
        <f>G293+G298+G303</f>
        <v>84508.7</v>
      </c>
      <c r="H292" s="15">
        <f>H293+H298+H303</f>
        <v>86183.09999999999</v>
      </c>
      <c r="I292" s="15">
        <f>I293+I298+I303</f>
        <v>87005.7</v>
      </c>
    </row>
    <row r="293" spans="1:9" s="3" customFormat="1" ht="78.75">
      <c r="A293" s="45" t="s">
        <v>270</v>
      </c>
      <c r="B293" s="23" t="s">
        <v>28</v>
      </c>
      <c r="C293" s="23" t="s">
        <v>7</v>
      </c>
      <c r="D293" s="23" t="s">
        <v>235</v>
      </c>
      <c r="E293" s="23"/>
      <c r="F293" s="14"/>
      <c r="G293" s="15">
        <f>G294+G295+G296+G297</f>
        <v>62731.4</v>
      </c>
      <c r="H293" s="15">
        <f>H294+H295+H296+H297</f>
        <v>62731.4</v>
      </c>
      <c r="I293" s="15">
        <f>I294+I295+I296+I297</f>
        <v>63142.7</v>
      </c>
    </row>
    <row r="294" spans="1:9" s="3" customFormat="1" ht="15.75">
      <c r="A294" s="32" t="s">
        <v>184</v>
      </c>
      <c r="B294" s="23" t="s">
        <v>28</v>
      </c>
      <c r="C294" s="23" t="s">
        <v>7</v>
      </c>
      <c r="D294" s="23" t="s">
        <v>235</v>
      </c>
      <c r="E294" s="23" t="s">
        <v>82</v>
      </c>
      <c r="F294" s="14"/>
      <c r="G294" s="26">
        <f>48180.8-100.699</f>
        <v>48080.101</v>
      </c>
      <c r="H294" s="26">
        <v>48180.8</v>
      </c>
      <c r="I294" s="26">
        <v>48496.7</v>
      </c>
    </row>
    <row r="295" spans="1:9" s="3" customFormat="1" ht="47.25">
      <c r="A295" s="32" t="s">
        <v>79</v>
      </c>
      <c r="B295" s="23" t="s">
        <v>28</v>
      </c>
      <c r="C295" s="23" t="s">
        <v>7</v>
      </c>
      <c r="D295" s="23" t="s">
        <v>235</v>
      </c>
      <c r="E295" s="23" t="s">
        <v>63</v>
      </c>
      <c r="F295" s="14"/>
      <c r="G295" s="26">
        <f>1.8+0.8+0.4</f>
        <v>3</v>
      </c>
      <c r="H295" s="15"/>
      <c r="I295" s="15"/>
    </row>
    <row r="296" spans="1:9" s="3" customFormat="1" ht="63">
      <c r="A296" s="39" t="s">
        <v>185</v>
      </c>
      <c r="B296" s="23" t="s">
        <v>28</v>
      </c>
      <c r="C296" s="23" t="s">
        <v>7</v>
      </c>
      <c r="D296" s="23" t="s">
        <v>235</v>
      </c>
      <c r="E296" s="23" t="s">
        <v>146</v>
      </c>
      <c r="F296" s="14"/>
      <c r="G296" s="26">
        <f>14550.6-1.8-0.8-0.4</f>
        <v>14547.600000000002</v>
      </c>
      <c r="H296" s="15">
        <v>14550.6</v>
      </c>
      <c r="I296" s="15">
        <v>14646</v>
      </c>
    </row>
    <row r="297" spans="1:9" s="3" customFormat="1" ht="47.25">
      <c r="A297" s="40" t="s">
        <v>347</v>
      </c>
      <c r="B297" s="23" t="s">
        <v>28</v>
      </c>
      <c r="C297" s="23" t="s">
        <v>7</v>
      </c>
      <c r="D297" s="23" t="s">
        <v>235</v>
      </c>
      <c r="E297" s="23" t="s">
        <v>98</v>
      </c>
      <c r="F297" s="14"/>
      <c r="G297" s="26">
        <v>100.699</v>
      </c>
      <c r="H297" s="15"/>
      <c r="I297" s="15"/>
    </row>
    <row r="298" spans="1:9" s="3" customFormat="1" ht="78.75">
      <c r="A298" s="38" t="s">
        <v>271</v>
      </c>
      <c r="B298" s="23" t="s">
        <v>28</v>
      </c>
      <c r="C298" s="23" t="s">
        <v>7</v>
      </c>
      <c r="D298" s="23" t="s">
        <v>236</v>
      </c>
      <c r="E298" s="23"/>
      <c r="F298" s="14"/>
      <c r="G298" s="26">
        <f>G299+G300+G301+G302</f>
        <v>17693.5</v>
      </c>
      <c r="H298" s="26">
        <f>H299+H300+H301+H302</f>
        <v>17693.5</v>
      </c>
      <c r="I298" s="26">
        <f>I299+I300+I301+I302</f>
        <v>17809.5</v>
      </c>
    </row>
    <row r="299" spans="1:9" s="3" customFormat="1" ht="15.75">
      <c r="A299" s="32" t="s">
        <v>184</v>
      </c>
      <c r="B299" s="23" t="s">
        <v>28</v>
      </c>
      <c r="C299" s="23" t="s">
        <v>7</v>
      </c>
      <c r="D299" s="23" t="s">
        <v>236</v>
      </c>
      <c r="E299" s="23" t="s">
        <v>82</v>
      </c>
      <c r="F299" s="14"/>
      <c r="G299" s="26">
        <f>13589.5-9-47.426</f>
        <v>13533.074</v>
      </c>
      <c r="H299" s="15">
        <v>13589.5</v>
      </c>
      <c r="I299" s="15">
        <v>13678.6</v>
      </c>
    </row>
    <row r="300" spans="1:9" s="3" customFormat="1" ht="47.25">
      <c r="A300" s="32" t="s">
        <v>79</v>
      </c>
      <c r="B300" s="23" t="s">
        <v>28</v>
      </c>
      <c r="C300" s="23" t="s">
        <v>7</v>
      </c>
      <c r="D300" s="23" t="s">
        <v>236</v>
      </c>
      <c r="E300" s="23" t="s">
        <v>63</v>
      </c>
      <c r="F300" s="14"/>
      <c r="G300" s="26">
        <f>0.3+0.3</f>
        <v>0.6</v>
      </c>
      <c r="H300" s="15"/>
      <c r="I300" s="15"/>
    </row>
    <row r="301" spans="1:9" s="3" customFormat="1" ht="63">
      <c r="A301" s="39" t="s">
        <v>185</v>
      </c>
      <c r="B301" s="23" t="s">
        <v>28</v>
      </c>
      <c r="C301" s="23" t="s">
        <v>7</v>
      </c>
      <c r="D301" s="23" t="s">
        <v>236</v>
      </c>
      <c r="E301" s="23" t="s">
        <v>146</v>
      </c>
      <c r="F301" s="14"/>
      <c r="G301" s="26">
        <f>4104-0.3-0.3</f>
        <v>4103.4</v>
      </c>
      <c r="H301" s="15">
        <v>4104</v>
      </c>
      <c r="I301" s="15">
        <v>4130.9</v>
      </c>
    </row>
    <row r="302" spans="1:9" s="3" customFormat="1" ht="47.25">
      <c r="A302" s="40" t="s">
        <v>347</v>
      </c>
      <c r="B302" s="23" t="s">
        <v>28</v>
      </c>
      <c r="C302" s="23" t="s">
        <v>7</v>
      </c>
      <c r="D302" s="23" t="s">
        <v>236</v>
      </c>
      <c r="E302" s="23" t="s">
        <v>98</v>
      </c>
      <c r="F302" s="14"/>
      <c r="G302" s="26">
        <f>9+47.426</f>
        <v>56.426</v>
      </c>
      <c r="H302" s="15"/>
      <c r="I302" s="15"/>
    </row>
    <row r="303" spans="1:9" s="3" customFormat="1" ht="63.75" customHeight="1">
      <c r="A303" s="38" t="s">
        <v>272</v>
      </c>
      <c r="B303" s="23" t="s">
        <v>28</v>
      </c>
      <c r="C303" s="23" t="s">
        <v>7</v>
      </c>
      <c r="D303" s="23" t="s">
        <v>237</v>
      </c>
      <c r="E303" s="23"/>
      <c r="F303" s="14"/>
      <c r="G303" s="26">
        <f>G304</f>
        <v>4083.8</v>
      </c>
      <c r="H303" s="26">
        <f>H304</f>
        <v>5758.2</v>
      </c>
      <c r="I303" s="26">
        <f>I304</f>
        <v>6053.5</v>
      </c>
    </row>
    <row r="304" spans="1:9" s="3" customFormat="1" ht="47.25">
      <c r="A304" s="40" t="s">
        <v>72</v>
      </c>
      <c r="B304" s="23" t="s">
        <v>28</v>
      </c>
      <c r="C304" s="23" t="s">
        <v>7</v>
      </c>
      <c r="D304" s="23" t="s">
        <v>237</v>
      </c>
      <c r="E304" s="23" t="s">
        <v>71</v>
      </c>
      <c r="F304" s="14"/>
      <c r="G304" s="26">
        <v>4083.8</v>
      </c>
      <c r="H304" s="26">
        <v>5758.2</v>
      </c>
      <c r="I304" s="26">
        <v>6053.5</v>
      </c>
    </row>
    <row r="305" spans="1:9" s="3" customFormat="1" ht="65.25" customHeight="1">
      <c r="A305" s="64" t="s">
        <v>273</v>
      </c>
      <c r="B305" s="23" t="s">
        <v>28</v>
      </c>
      <c r="C305" s="23" t="s">
        <v>7</v>
      </c>
      <c r="D305" s="23" t="s">
        <v>307</v>
      </c>
      <c r="E305" s="23"/>
      <c r="F305" s="14"/>
      <c r="G305" s="26">
        <f>G306</f>
        <v>656</v>
      </c>
      <c r="H305" s="26">
        <f>H306</f>
        <v>0</v>
      </c>
      <c r="I305" s="26">
        <f>I306</f>
        <v>0</v>
      </c>
    </row>
    <row r="306" spans="1:9" s="3" customFormat="1" ht="47.25">
      <c r="A306" s="40" t="s">
        <v>72</v>
      </c>
      <c r="B306" s="23" t="s">
        <v>28</v>
      </c>
      <c r="C306" s="23" t="s">
        <v>7</v>
      </c>
      <c r="D306" s="23" t="s">
        <v>307</v>
      </c>
      <c r="E306" s="23" t="s">
        <v>71</v>
      </c>
      <c r="F306" s="14"/>
      <c r="G306" s="26">
        <v>656</v>
      </c>
      <c r="H306" s="26"/>
      <c r="I306" s="26"/>
    </row>
    <row r="307" spans="1:9" s="3" customFormat="1" ht="69" customHeight="1">
      <c r="A307" s="40" t="s">
        <v>364</v>
      </c>
      <c r="B307" s="23" t="s">
        <v>28</v>
      </c>
      <c r="C307" s="23" t="s">
        <v>7</v>
      </c>
      <c r="D307" s="23" t="s">
        <v>363</v>
      </c>
      <c r="E307" s="23"/>
      <c r="F307" s="14"/>
      <c r="G307" s="26">
        <f>G308</f>
        <v>100</v>
      </c>
      <c r="H307" s="26">
        <f>H308</f>
        <v>0</v>
      </c>
      <c r="I307" s="26">
        <f>I308</f>
        <v>0</v>
      </c>
    </row>
    <row r="308" spans="1:9" s="3" customFormat="1" ht="47.25">
      <c r="A308" s="40" t="s">
        <v>72</v>
      </c>
      <c r="B308" s="23" t="s">
        <v>28</v>
      </c>
      <c r="C308" s="23" t="s">
        <v>7</v>
      </c>
      <c r="D308" s="23" t="s">
        <v>363</v>
      </c>
      <c r="E308" s="23" t="s">
        <v>71</v>
      </c>
      <c r="F308" s="14"/>
      <c r="G308" s="26">
        <v>100</v>
      </c>
      <c r="H308" s="26"/>
      <c r="I308" s="26"/>
    </row>
    <row r="309" spans="1:9" s="3" customFormat="1" ht="31.5">
      <c r="A309" s="39" t="s">
        <v>74</v>
      </c>
      <c r="B309" s="19" t="s">
        <v>28</v>
      </c>
      <c r="C309" s="19" t="s">
        <v>7</v>
      </c>
      <c r="D309" s="19" t="s">
        <v>116</v>
      </c>
      <c r="E309" s="53"/>
      <c r="F309" s="14"/>
      <c r="G309" s="15">
        <f>G314+G312+G310</f>
        <v>7011.035</v>
      </c>
      <c r="H309" s="15">
        <f>H314+H312+H310</f>
        <v>3978</v>
      </c>
      <c r="I309" s="15">
        <f>I314+I312+I310</f>
        <v>3978</v>
      </c>
    </row>
    <row r="310" spans="1:9" s="3" customFormat="1" ht="63" customHeight="1">
      <c r="A310" s="45" t="s">
        <v>274</v>
      </c>
      <c r="B310" s="23" t="s">
        <v>28</v>
      </c>
      <c r="C310" s="23" t="s">
        <v>7</v>
      </c>
      <c r="D310" s="23" t="s">
        <v>157</v>
      </c>
      <c r="E310" s="23"/>
      <c r="F310" s="14"/>
      <c r="G310" s="15">
        <f>G311</f>
        <v>5320.3</v>
      </c>
      <c r="H310" s="15">
        <f>H311</f>
        <v>3978</v>
      </c>
      <c r="I310" s="15">
        <f>I311</f>
        <v>3978</v>
      </c>
    </row>
    <row r="311" spans="1:9" s="3" customFormat="1" ht="47.25">
      <c r="A311" s="32" t="s">
        <v>215</v>
      </c>
      <c r="B311" s="23" t="s">
        <v>28</v>
      </c>
      <c r="C311" s="23" t="s">
        <v>7</v>
      </c>
      <c r="D311" s="23" t="s">
        <v>157</v>
      </c>
      <c r="E311" s="23" t="s">
        <v>216</v>
      </c>
      <c r="F311" s="14"/>
      <c r="G311" s="15">
        <f>3978+1342.3</f>
        <v>5320.3</v>
      </c>
      <c r="H311" s="15">
        <v>3978</v>
      </c>
      <c r="I311" s="15">
        <v>3978</v>
      </c>
    </row>
    <row r="312" spans="1:9" s="3" customFormat="1" ht="99" customHeight="1">
      <c r="A312" s="66" t="s">
        <v>359</v>
      </c>
      <c r="B312" s="19" t="s">
        <v>28</v>
      </c>
      <c r="C312" s="19" t="s">
        <v>7</v>
      </c>
      <c r="D312" s="19" t="s">
        <v>158</v>
      </c>
      <c r="E312" s="19"/>
      <c r="F312" s="14"/>
      <c r="G312" s="15">
        <f>G313</f>
        <v>1657.135</v>
      </c>
      <c r="H312" s="15">
        <f>H313</f>
        <v>0</v>
      </c>
      <c r="I312" s="15">
        <f>I313</f>
        <v>0</v>
      </c>
    </row>
    <row r="313" spans="1:9" s="3" customFormat="1" ht="15.75">
      <c r="A313" s="66" t="s">
        <v>58</v>
      </c>
      <c r="B313" s="19" t="s">
        <v>28</v>
      </c>
      <c r="C313" s="19" t="s">
        <v>7</v>
      </c>
      <c r="D313" s="19" t="s">
        <v>158</v>
      </c>
      <c r="E313" s="19" t="s">
        <v>90</v>
      </c>
      <c r="F313" s="14"/>
      <c r="G313" s="15">
        <f>1311.8+279.6+65.735</f>
        <v>1657.135</v>
      </c>
      <c r="H313" s="15"/>
      <c r="I313" s="15"/>
    </row>
    <row r="314" spans="1:9" s="3" customFormat="1" ht="98.25" customHeight="1">
      <c r="A314" s="45" t="s">
        <v>199</v>
      </c>
      <c r="B314" s="19" t="s">
        <v>28</v>
      </c>
      <c r="C314" s="19" t="s">
        <v>7</v>
      </c>
      <c r="D314" s="19" t="s">
        <v>198</v>
      </c>
      <c r="E314" s="19"/>
      <c r="F314" s="14"/>
      <c r="G314" s="15">
        <f>G315+G316</f>
        <v>33.6</v>
      </c>
      <c r="H314" s="15">
        <f>H315+H316</f>
        <v>0</v>
      </c>
      <c r="I314" s="15">
        <f>I315+I316</f>
        <v>0</v>
      </c>
    </row>
    <row r="315" spans="1:9" s="3" customFormat="1" ht="15.75">
      <c r="A315" s="50" t="s">
        <v>184</v>
      </c>
      <c r="B315" s="19" t="s">
        <v>28</v>
      </c>
      <c r="C315" s="19" t="s">
        <v>7</v>
      </c>
      <c r="D315" s="19" t="s">
        <v>198</v>
      </c>
      <c r="E315" s="19" t="s">
        <v>82</v>
      </c>
      <c r="F315" s="14"/>
      <c r="G315" s="15">
        <v>26</v>
      </c>
      <c r="H315" s="15"/>
      <c r="I315" s="15"/>
    </row>
    <row r="316" spans="1:9" s="3" customFormat="1" ht="63">
      <c r="A316" s="39" t="s">
        <v>185</v>
      </c>
      <c r="B316" s="19" t="s">
        <v>28</v>
      </c>
      <c r="C316" s="19" t="s">
        <v>7</v>
      </c>
      <c r="D316" s="19" t="s">
        <v>198</v>
      </c>
      <c r="E316" s="19" t="s">
        <v>146</v>
      </c>
      <c r="F316" s="14"/>
      <c r="G316" s="15">
        <v>7.6</v>
      </c>
      <c r="H316" s="15"/>
      <c r="I316" s="15"/>
    </row>
    <row r="317" spans="1:9" s="55" customFormat="1" ht="15.75">
      <c r="A317" s="82" t="s">
        <v>209</v>
      </c>
      <c r="B317" s="30" t="s">
        <v>28</v>
      </c>
      <c r="C317" s="30" t="s">
        <v>9</v>
      </c>
      <c r="D317" s="30"/>
      <c r="E317" s="30"/>
      <c r="F317" s="28"/>
      <c r="G317" s="29">
        <f>G318+G332+G322+G327+G343</f>
        <v>10053.122000000001</v>
      </c>
      <c r="H317" s="29">
        <f>H318+H332+H322+H327+H343</f>
        <v>10598.1</v>
      </c>
      <c r="I317" s="29">
        <f>I318+I332+I322+I327+I343</f>
        <v>10698.1</v>
      </c>
    </row>
    <row r="318" spans="1:9" s="52" customFormat="1" ht="126">
      <c r="A318" s="76" t="s">
        <v>293</v>
      </c>
      <c r="B318" s="19" t="s">
        <v>28</v>
      </c>
      <c r="C318" s="19" t="s">
        <v>9</v>
      </c>
      <c r="D318" s="19" t="s">
        <v>150</v>
      </c>
      <c r="E318" s="19"/>
      <c r="F318" s="11"/>
      <c r="G318" s="26">
        <f>G319</f>
        <v>3575</v>
      </c>
      <c r="H318" s="26">
        <f>H319</f>
        <v>3650</v>
      </c>
      <c r="I318" s="26">
        <f>I319</f>
        <v>3700</v>
      </c>
    </row>
    <row r="319" spans="1:9" s="52" customFormat="1" ht="31.5">
      <c r="A319" s="50" t="s">
        <v>103</v>
      </c>
      <c r="B319" s="19" t="s">
        <v>28</v>
      </c>
      <c r="C319" s="19" t="s">
        <v>9</v>
      </c>
      <c r="D319" s="19" t="s">
        <v>151</v>
      </c>
      <c r="E319" s="19"/>
      <c r="F319" s="11"/>
      <c r="G319" s="26">
        <f>G320+G321</f>
        <v>3575</v>
      </c>
      <c r="H319" s="26">
        <f>H320+H321</f>
        <v>3650</v>
      </c>
      <c r="I319" s="26">
        <f>I320+I321</f>
        <v>3700</v>
      </c>
    </row>
    <row r="320" spans="1:9" s="52" customFormat="1" ht="84" customHeight="1">
      <c r="A320" s="66" t="s">
        <v>81</v>
      </c>
      <c r="B320" s="19" t="s">
        <v>28</v>
      </c>
      <c r="C320" s="19" t="s">
        <v>9</v>
      </c>
      <c r="D320" s="19" t="s">
        <v>151</v>
      </c>
      <c r="E320" s="19" t="s">
        <v>60</v>
      </c>
      <c r="F320" s="11"/>
      <c r="G320" s="26">
        <f>3525+50</f>
        <v>3575</v>
      </c>
      <c r="H320" s="26">
        <v>3650</v>
      </c>
      <c r="I320" s="26">
        <v>3700</v>
      </c>
    </row>
    <row r="321" spans="1:9" s="52" customFormat="1" ht="31.5" hidden="1">
      <c r="A321" s="88" t="s">
        <v>62</v>
      </c>
      <c r="B321" s="19" t="s">
        <v>28</v>
      </c>
      <c r="C321" s="19" t="s">
        <v>9</v>
      </c>
      <c r="D321" s="19" t="s">
        <v>151</v>
      </c>
      <c r="E321" s="19" t="s">
        <v>61</v>
      </c>
      <c r="F321" s="11"/>
      <c r="G321" s="26"/>
      <c r="H321" s="26"/>
      <c r="I321" s="26"/>
    </row>
    <row r="322" spans="1:9" s="52" customFormat="1" ht="47.25">
      <c r="A322" s="58" t="s">
        <v>292</v>
      </c>
      <c r="B322" s="19" t="s">
        <v>28</v>
      </c>
      <c r="C322" s="19" t="s">
        <v>9</v>
      </c>
      <c r="D322" s="19" t="s">
        <v>147</v>
      </c>
      <c r="E322" s="19"/>
      <c r="F322" s="11"/>
      <c r="G322" s="26">
        <f>G323</f>
        <v>105.6</v>
      </c>
      <c r="H322" s="26">
        <f>H323</f>
        <v>0</v>
      </c>
      <c r="I322" s="26">
        <f>I323</f>
        <v>0</v>
      </c>
    </row>
    <row r="323" spans="1:9" s="52" customFormat="1" ht="47.25">
      <c r="A323" s="64" t="s">
        <v>275</v>
      </c>
      <c r="B323" s="23" t="s">
        <v>28</v>
      </c>
      <c r="C323" s="23" t="s">
        <v>9</v>
      </c>
      <c r="D323" s="83" t="s">
        <v>306</v>
      </c>
      <c r="E323" s="23"/>
      <c r="F323" s="11"/>
      <c r="G323" s="26">
        <f>G326+G324+G325</f>
        <v>105.6</v>
      </c>
      <c r="H323" s="26">
        <f>H326+H324+H325</f>
        <v>0</v>
      </c>
      <c r="I323" s="26">
        <f>I326+I324+I325</f>
        <v>0</v>
      </c>
    </row>
    <row r="324" spans="1:9" s="52" customFormat="1" ht="15.75" hidden="1">
      <c r="A324" s="32" t="s">
        <v>184</v>
      </c>
      <c r="B324" s="23" t="s">
        <v>28</v>
      </c>
      <c r="C324" s="23" t="s">
        <v>9</v>
      </c>
      <c r="D324" s="83" t="s">
        <v>213</v>
      </c>
      <c r="E324" s="23" t="s">
        <v>82</v>
      </c>
      <c r="F324" s="11"/>
      <c r="G324" s="26"/>
      <c r="H324" s="26"/>
      <c r="I324" s="26"/>
    </row>
    <row r="325" spans="1:9" s="52" customFormat="1" ht="63" hidden="1">
      <c r="A325" s="39" t="s">
        <v>185</v>
      </c>
      <c r="B325" s="23" t="s">
        <v>28</v>
      </c>
      <c r="C325" s="23" t="s">
        <v>9</v>
      </c>
      <c r="D325" s="83" t="s">
        <v>213</v>
      </c>
      <c r="E325" s="23" t="s">
        <v>146</v>
      </c>
      <c r="F325" s="11"/>
      <c r="G325" s="26"/>
      <c r="H325" s="26"/>
      <c r="I325" s="26"/>
    </row>
    <row r="326" spans="1:9" s="52" customFormat="1" ht="47.25">
      <c r="A326" s="64" t="s">
        <v>72</v>
      </c>
      <c r="B326" s="23" t="s">
        <v>28</v>
      </c>
      <c r="C326" s="23" t="s">
        <v>9</v>
      </c>
      <c r="D326" s="83" t="s">
        <v>306</v>
      </c>
      <c r="E326" s="23" t="s">
        <v>71</v>
      </c>
      <c r="F326" s="11"/>
      <c r="G326" s="26">
        <v>105.6</v>
      </c>
      <c r="H326" s="26"/>
      <c r="I326" s="26"/>
    </row>
    <row r="327" spans="1:9" s="52" customFormat="1" ht="47.25">
      <c r="A327" s="58" t="s">
        <v>291</v>
      </c>
      <c r="B327" s="19" t="s">
        <v>28</v>
      </c>
      <c r="C327" s="19" t="s">
        <v>9</v>
      </c>
      <c r="D327" s="19" t="s">
        <v>152</v>
      </c>
      <c r="E327" s="23"/>
      <c r="F327" s="11"/>
      <c r="G327" s="26">
        <f>G328</f>
        <v>163.2</v>
      </c>
      <c r="H327" s="26">
        <f>H328</f>
        <v>0</v>
      </c>
      <c r="I327" s="26">
        <f>I328</f>
        <v>0</v>
      </c>
    </row>
    <row r="328" spans="1:9" s="52" customFormat="1" ht="47.25">
      <c r="A328" s="64" t="s">
        <v>275</v>
      </c>
      <c r="B328" s="23" t="s">
        <v>28</v>
      </c>
      <c r="C328" s="23" t="s">
        <v>9</v>
      </c>
      <c r="D328" s="83" t="s">
        <v>308</v>
      </c>
      <c r="E328" s="23"/>
      <c r="F328" s="11"/>
      <c r="G328" s="26">
        <f>G331+G329+G330</f>
        <v>163.2</v>
      </c>
      <c r="H328" s="26">
        <f>H331+H329+H330</f>
        <v>0</v>
      </c>
      <c r="I328" s="26">
        <f>I331+I329+I330</f>
        <v>0</v>
      </c>
    </row>
    <row r="329" spans="1:9" s="52" customFormat="1" ht="15.75" hidden="1">
      <c r="A329" s="32" t="s">
        <v>184</v>
      </c>
      <c r="B329" s="23" t="s">
        <v>28</v>
      </c>
      <c r="C329" s="23" t="s">
        <v>9</v>
      </c>
      <c r="D329" s="83" t="s">
        <v>217</v>
      </c>
      <c r="E329" s="23" t="s">
        <v>82</v>
      </c>
      <c r="F329" s="11"/>
      <c r="G329" s="26"/>
      <c r="H329" s="26"/>
      <c r="I329" s="26"/>
    </row>
    <row r="330" spans="1:9" s="52" customFormat="1" ht="63" hidden="1">
      <c r="A330" s="39" t="s">
        <v>185</v>
      </c>
      <c r="B330" s="23" t="s">
        <v>28</v>
      </c>
      <c r="C330" s="23" t="s">
        <v>9</v>
      </c>
      <c r="D330" s="83" t="s">
        <v>217</v>
      </c>
      <c r="E330" s="23" t="s">
        <v>146</v>
      </c>
      <c r="F330" s="11"/>
      <c r="G330" s="26"/>
      <c r="H330" s="26"/>
      <c r="I330" s="26"/>
    </row>
    <row r="331" spans="1:9" s="52" customFormat="1" ht="47.25">
      <c r="A331" s="64" t="s">
        <v>72</v>
      </c>
      <c r="B331" s="23" t="s">
        <v>28</v>
      </c>
      <c r="C331" s="23" t="s">
        <v>9</v>
      </c>
      <c r="D331" s="83" t="s">
        <v>308</v>
      </c>
      <c r="E331" s="23" t="s">
        <v>71</v>
      </c>
      <c r="F331" s="11"/>
      <c r="G331" s="26">
        <v>163.2</v>
      </c>
      <c r="H331" s="26"/>
      <c r="I331" s="26"/>
    </row>
    <row r="332" spans="1:9" s="3" customFormat="1" ht="63">
      <c r="A332" s="74" t="s">
        <v>290</v>
      </c>
      <c r="B332" s="19" t="s">
        <v>28</v>
      </c>
      <c r="C332" s="19" t="s">
        <v>9</v>
      </c>
      <c r="D332" s="19" t="s">
        <v>155</v>
      </c>
      <c r="E332" s="19"/>
      <c r="F332" s="14"/>
      <c r="G332" s="15">
        <f>G333</f>
        <v>6185.022000000002</v>
      </c>
      <c r="H332" s="15">
        <f>H333</f>
        <v>6948.1</v>
      </c>
      <c r="I332" s="15">
        <f>I333</f>
        <v>6998.1</v>
      </c>
    </row>
    <row r="333" spans="1:9" s="3" customFormat="1" ht="31.5">
      <c r="A333" s="40" t="s">
        <v>211</v>
      </c>
      <c r="B333" s="19" t="s">
        <v>28</v>
      </c>
      <c r="C333" s="19" t="s">
        <v>9</v>
      </c>
      <c r="D333" s="19" t="s">
        <v>156</v>
      </c>
      <c r="E333" s="19"/>
      <c r="F333" s="14"/>
      <c r="G333" s="15">
        <f>G334+G335+G338+G340+G341+G337+G339+G336+G342</f>
        <v>6185.022000000002</v>
      </c>
      <c r="H333" s="15">
        <f>H334+H335+H338+H340+H341+H337+H339+H336+H342</f>
        <v>6948.1</v>
      </c>
      <c r="I333" s="15">
        <f>I334+I335+I338+I340+I341+I337+I339+I336+I342</f>
        <v>6998.1</v>
      </c>
    </row>
    <row r="334" spans="1:9" s="3" customFormat="1" ht="15.75">
      <c r="A334" s="64" t="s">
        <v>184</v>
      </c>
      <c r="B334" s="19" t="s">
        <v>28</v>
      </c>
      <c r="C334" s="19" t="s">
        <v>9</v>
      </c>
      <c r="D334" s="19" t="s">
        <v>156</v>
      </c>
      <c r="E334" s="19" t="s">
        <v>82</v>
      </c>
      <c r="F334" s="14" t="e">
        <f>#REF!</f>
        <v>#REF!</v>
      </c>
      <c r="G334" s="20">
        <f>4119.6+32-40-545.15</f>
        <v>3566.4500000000003</v>
      </c>
      <c r="H334" s="20">
        <v>4299.6</v>
      </c>
      <c r="I334" s="20">
        <v>4299.6</v>
      </c>
    </row>
    <row r="335" spans="1:9" s="3" customFormat="1" ht="47.25">
      <c r="A335" s="64" t="s">
        <v>79</v>
      </c>
      <c r="B335" s="19" t="s">
        <v>28</v>
      </c>
      <c r="C335" s="19" t="s">
        <v>9</v>
      </c>
      <c r="D335" s="19" t="s">
        <v>156</v>
      </c>
      <c r="E335" s="19" t="s">
        <v>63</v>
      </c>
      <c r="F335" s="14" t="e">
        <f>#REF!</f>
        <v>#REF!</v>
      </c>
      <c r="G335" s="20">
        <f>50+20+0.3-10-17.1-10.65+20-0.81-0.01-20+9-3.62-3.8+0.3-2.915</f>
        <v>30.695</v>
      </c>
      <c r="H335" s="20">
        <v>50</v>
      </c>
      <c r="I335" s="20">
        <v>50</v>
      </c>
    </row>
    <row r="336" spans="1:9" s="3" customFormat="1" ht="63">
      <c r="A336" s="64" t="s">
        <v>206</v>
      </c>
      <c r="B336" s="19" t="s">
        <v>28</v>
      </c>
      <c r="C336" s="19" t="s">
        <v>9</v>
      </c>
      <c r="D336" s="19" t="s">
        <v>156</v>
      </c>
      <c r="E336" s="19" t="s">
        <v>205</v>
      </c>
      <c r="F336" s="14"/>
      <c r="G336" s="20">
        <f>17.1+20.65+62-12-28.882</f>
        <v>58.867999999999995</v>
      </c>
      <c r="H336" s="20"/>
      <c r="I336" s="20"/>
    </row>
    <row r="337" spans="1:9" s="3" customFormat="1" ht="63">
      <c r="A337" s="39" t="s">
        <v>185</v>
      </c>
      <c r="B337" s="19" t="s">
        <v>28</v>
      </c>
      <c r="C337" s="19" t="s">
        <v>9</v>
      </c>
      <c r="D337" s="19" t="s">
        <v>156</v>
      </c>
      <c r="E337" s="19" t="s">
        <v>146</v>
      </c>
      <c r="F337" s="14"/>
      <c r="G337" s="20">
        <f>1244.5-0.3-0.055-0.3+76</f>
        <v>1319.845</v>
      </c>
      <c r="H337" s="20">
        <v>1298.5</v>
      </c>
      <c r="I337" s="20">
        <v>1298.5</v>
      </c>
    </row>
    <row r="338" spans="1:9" s="3" customFormat="1" ht="47.25">
      <c r="A338" s="64" t="s">
        <v>72</v>
      </c>
      <c r="B338" s="19" t="s">
        <v>28</v>
      </c>
      <c r="C338" s="19" t="s">
        <v>9</v>
      </c>
      <c r="D338" s="19" t="s">
        <v>156</v>
      </c>
      <c r="E338" s="53" t="s">
        <v>71</v>
      </c>
      <c r="F338" s="14"/>
      <c r="G338" s="20">
        <f>1050+12.54+80+10+1.93+1.226-1.36+20-7.5-9-20+3.8+138-92.447+3.8-3.09</f>
        <v>1187.8990000000003</v>
      </c>
      <c r="H338" s="20">
        <v>1100</v>
      </c>
      <c r="I338" s="20">
        <v>1150</v>
      </c>
    </row>
    <row r="339" spans="1:9" s="3" customFormat="1" ht="47.25" hidden="1">
      <c r="A339" s="75" t="s">
        <v>218</v>
      </c>
      <c r="B339" s="19" t="s">
        <v>28</v>
      </c>
      <c r="C339" s="19" t="s">
        <v>9</v>
      </c>
      <c r="D339" s="19" t="s">
        <v>156</v>
      </c>
      <c r="E339" s="53" t="s">
        <v>84</v>
      </c>
      <c r="F339" s="14"/>
      <c r="G339" s="20"/>
      <c r="H339" s="20"/>
      <c r="I339" s="20"/>
    </row>
    <row r="340" spans="1:9" s="3" customFormat="1" ht="31.5">
      <c r="A340" s="75" t="s">
        <v>73</v>
      </c>
      <c r="B340" s="19" t="s">
        <v>28</v>
      </c>
      <c r="C340" s="19" t="s">
        <v>9</v>
      </c>
      <c r="D340" s="19" t="s">
        <v>156</v>
      </c>
      <c r="E340" s="53" t="s">
        <v>75</v>
      </c>
      <c r="F340" s="14"/>
      <c r="G340" s="15">
        <f>500-1.93-10-11.465-1.27-211.4-62.32-25.02-4.755-10.757-1.94-159-0.143</f>
        <v>5.753730825119874E-14</v>
      </c>
      <c r="H340" s="15">
        <v>200</v>
      </c>
      <c r="I340" s="15">
        <v>200</v>
      </c>
    </row>
    <row r="341" spans="1:9" s="3" customFormat="1" ht="31.5">
      <c r="A341" s="75" t="s">
        <v>80</v>
      </c>
      <c r="B341" s="19" t="s">
        <v>28</v>
      </c>
      <c r="C341" s="19" t="s">
        <v>9</v>
      </c>
      <c r="D341" s="19" t="s">
        <v>156</v>
      </c>
      <c r="E341" s="19" t="s">
        <v>83</v>
      </c>
      <c r="F341" s="14"/>
      <c r="G341" s="15">
        <v>7.5</v>
      </c>
      <c r="H341" s="15"/>
      <c r="I341" s="15"/>
    </row>
    <row r="342" spans="1:9" s="3" customFormat="1" ht="15.75">
      <c r="A342" s="75" t="s">
        <v>204</v>
      </c>
      <c r="B342" s="19" t="s">
        <v>28</v>
      </c>
      <c r="C342" s="19" t="s">
        <v>9</v>
      </c>
      <c r="D342" s="19" t="s">
        <v>156</v>
      </c>
      <c r="E342" s="19" t="s">
        <v>202</v>
      </c>
      <c r="F342" s="14"/>
      <c r="G342" s="15">
        <f>2.17+0.01+1.27+3.62+4.755+1.94</f>
        <v>13.764999999999999</v>
      </c>
      <c r="H342" s="15"/>
      <c r="I342" s="15"/>
    </row>
    <row r="343" spans="1:9" s="3" customFormat="1" ht="31.5">
      <c r="A343" s="64" t="s">
        <v>74</v>
      </c>
      <c r="B343" s="19" t="s">
        <v>28</v>
      </c>
      <c r="C343" s="19" t="s">
        <v>9</v>
      </c>
      <c r="D343" s="19" t="s">
        <v>116</v>
      </c>
      <c r="E343" s="19"/>
      <c r="F343" s="14"/>
      <c r="G343" s="15">
        <f aca="true" t="shared" si="18" ref="G343:I344">G344</f>
        <v>24.3</v>
      </c>
      <c r="H343" s="15">
        <f t="shared" si="18"/>
        <v>0</v>
      </c>
      <c r="I343" s="15">
        <f t="shared" si="18"/>
        <v>0</v>
      </c>
    </row>
    <row r="344" spans="1:9" s="3" customFormat="1" ht="78.75">
      <c r="A344" s="75" t="s">
        <v>267</v>
      </c>
      <c r="B344" s="19" t="s">
        <v>28</v>
      </c>
      <c r="C344" s="19" t="s">
        <v>9</v>
      </c>
      <c r="D344" s="19" t="s">
        <v>198</v>
      </c>
      <c r="E344" s="19"/>
      <c r="F344" s="14"/>
      <c r="G344" s="15">
        <f t="shared" si="18"/>
        <v>24.3</v>
      </c>
      <c r="H344" s="15">
        <f t="shared" si="18"/>
        <v>0</v>
      </c>
      <c r="I344" s="15">
        <f t="shared" si="18"/>
        <v>0</v>
      </c>
    </row>
    <row r="345" spans="1:9" s="3" customFormat="1" ht="31.5">
      <c r="A345" s="66" t="s">
        <v>62</v>
      </c>
      <c r="B345" s="19" t="s">
        <v>28</v>
      </c>
      <c r="C345" s="19" t="s">
        <v>9</v>
      </c>
      <c r="D345" s="19" t="s">
        <v>198</v>
      </c>
      <c r="E345" s="19" t="s">
        <v>61</v>
      </c>
      <c r="F345" s="14"/>
      <c r="G345" s="15">
        <v>24.3</v>
      </c>
      <c r="H345" s="15"/>
      <c r="I345" s="15"/>
    </row>
    <row r="346" spans="1:9" s="55" customFormat="1" ht="47.25">
      <c r="A346" s="86" t="s">
        <v>226</v>
      </c>
      <c r="B346" s="30" t="s">
        <v>28</v>
      </c>
      <c r="C346" s="30" t="s">
        <v>18</v>
      </c>
      <c r="D346" s="30"/>
      <c r="E346" s="30"/>
      <c r="F346" s="28"/>
      <c r="G346" s="29">
        <f>G359+G350+G347+G353+G356</f>
        <v>23.516</v>
      </c>
      <c r="H346" s="29">
        <f>H359+H350+H347+H353+H356</f>
        <v>10</v>
      </c>
      <c r="I346" s="29">
        <f>I359+I350+I347+I353+I356</f>
        <v>10</v>
      </c>
    </row>
    <row r="347" spans="1:9" s="55" customFormat="1" ht="31.5" hidden="1">
      <c r="A347" s="45" t="s">
        <v>64</v>
      </c>
      <c r="B347" s="10" t="s">
        <v>28</v>
      </c>
      <c r="C347" s="10" t="s">
        <v>18</v>
      </c>
      <c r="D347" s="10" t="s">
        <v>109</v>
      </c>
      <c r="E347" s="23"/>
      <c r="F347" s="25"/>
      <c r="G347" s="26">
        <f aca="true" t="shared" si="19" ref="G347:I348">G348</f>
        <v>0</v>
      </c>
      <c r="H347" s="26">
        <f t="shared" si="19"/>
        <v>0</v>
      </c>
      <c r="I347" s="26">
        <f t="shared" si="19"/>
        <v>0</v>
      </c>
    </row>
    <row r="348" spans="1:9" s="55" customFormat="1" ht="47.25" hidden="1">
      <c r="A348" s="45" t="s">
        <v>67</v>
      </c>
      <c r="B348" s="10" t="s">
        <v>28</v>
      </c>
      <c r="C348" s="10" t="s">
        <v>18</v>
      </c>
      <c r="D348" s="10" t="s">
        <v>110</v>
      </c>
      <c r="E348" s="23"/>
      <c r="F348" s="25"/>
      <c r="G348" s="26">
        <f t="shared" si="19"/>
        <v>0</v>
      </c>
      <c r="H348" s="26">
        <f t="shared" si="19"/>
        <v>0</v>
      </c>
      <c r="I348" s="26">
        <f t="shared" si="19"/>
        <v>0</v>
      </c>
    </row>
    <row r="349" spans="1:9" s="55" customFormat="1" ht="47.25" hidden="1">
      <c r="A349" s="64" t="s">
        <v>72</v>
      </c>
      <c r="B349" s="23" t="s">
        <v>28</v>
      </c>
      <c r="C349" s="23" t="s">
        <v>18</v>
      </c>
      <c r="D349" s="10" t="s">
        <v>110</v>
      </c>
      <c r="E349" s="23" t="s">
        <v>71</v>
      </c>
      <c r="F349" s="25"/>
      <c r="G349" s="26"/>
      <c r="H349" s="26"/>
      <c r="I349" s="26"/>
    </row>
    <row r="350" spans="1:9" s="55" customFormat="1" ht="45.75" customHeight="1">
      <c r="A350" s="74" t="s">
        <v>289</v>
      </c>
      <c r="B350" s="19" t="s">
        <v>28</v>
      </c>
      <c r="C350" s="19" t="s">
        <v>18</v>
      </c>
      <c r="D350" s="23" t="s">
        <v>161</v>
      </c>
      <c r="E350" s="23"/>
      <c r="F350" s="25"/>
      <c r="G350" s="26">
        <f aca="true" t="shared" si="20" ref="G350:I351">G351</f>
        <v>0</v>
      </c>
      <c r="H350" s="26">
        <f t="shared" si="20"/>
        <v>10</v>
      </c>
      <c r="I350" s="26">
        <f t="shared" si="20"/>
        <v>10</v>
      </c>
    </row>
    <row r="351" spans="1:9" s="55" customFormat="1" ht="31.5">
      <c r="A351" s="45" t="s">
        <v>210</v>
      </c>
      <c r="B351" s="19" t="s">
        <v>28</v>
      </c>
      <c r="C351" s="19" t="s">
        <v>18</v>
      </c>
      <c r="D351" s="23" t="s">
        <v>162</v>
      </c>
      <c r="E351" s="23"/>
      <c r="F351" s="25"/>
      <c r="G351" s="26">
        <f t="shared" si="20"/>
        <v>0</v>
      </c>
      <c r="H351" s="26">
        <f t="shared" si="20"/>
        <v>10</v>
      </c>
      <c r="I351" s="26">
        <f t="shared" si="20"/>
        <v>10</v>
      </c>
    </row>
    <row r="352" spans="1:9" s="55" customFormat="1" ht="47.25">
      <c r="A352" s="64" t="s">
        <v>72</v>
      </c>
      <c r="B352" s="19" t="s">
        <v>28</v>
      </c>
      <c r="C352" s="19" t="s">
        <v>18</v>
      </c>
      <c r="D352" s="23" t="s">
        <v>162</v>
      </c>
      <c r="E352" s="23" t="s">
        <v>71</v>
      </c>
      <c r="F352" s="25"/>
      <c r="G352" s="26"/>
      <c r="H352" s="26">
        <v>10</v>
      </c>
      <c r="I352" s="26">
        <v>10</v>
      </c>
    </row>
    <row r="353" spans="1:9" s="55" customFormat="1" ht="94.5">
      <c r="A353" s="74" t="s">
        <v>297</v>
      </c>
      <c r="B353" s="19" t="s">
        <v>28</v>
      </c>
      <c r="C353" s="19" t="s">
        <v>18</v>
      </c>
      <c r="D353" s="19" t="s">
        <v>130</v>
      </c>
      <c r="E353" s="23"/>
      <c r="F353" s="25"/>
      <c r="G353" s="26">
        <f aca="true" t="shared" si="21" ref="G353:I354">G354</f>
        <v>8.756</v>
      </c>
      <c r="H353" s="26">
        <f t="shared" si="21"/>
        <v>0</v>
      </c>
      <c r="I353" s="26">
        <f t="shared" si="21"/>
        <v>0</v>
      </c>
    </row>
    <row r="354" spans="1:9" s="55" customFormat="1" ht="31.5">
      <c r="A354" s="32" t="s">
        <v>211</v>
      </c>
      <c r="B354" s="19" t="s">
        <v>28</v>
      </c>
      <c r="C354" s="19" t="s">
        <v>18</v>
      </c>
      <c r="D354" s="19" t="s">
        <v>188</v>
      </c>
      <c r="E354" s="23"/>
      <c r="F354" s="25"/>
      <c r="G354" s="26">
        <f t="shared" si="21"/>
        <v>8.756</v>
      </c>
      <c r="H354" s="26">
        <f t="shared" si="21"/>
        <v>0</v>
      </c>
      <c r="I354" s="26">
        <f t="shared" si="21"/>
        <v>0</v>
      </c>
    </row>
    <row r="355" spans="1:9" s="55" customFormat="1" ht="47.25">
      <c r="A355" s="64" t="s">
        <v>72</v>
      </c>
      <c r="B355" s="19" t="s">
        <v>28</v>
      </c>
      <c r="C355" s="19" t="s">
        <v>18</v>
      </c>
      <c r="D355" s="19" t="s">
        <v>188</v>
      </c>
      <c r="E355" s="23" t="s">
        <v>71</v>
      </c>
      <c r="F355" s="25"/>
      <c r="G355" s="26">
        <f>8.756</f>
        <v>8.756</v>
      </c>
      <c r="H355" s="26"/>
      <c r="I355" s="26"/>
    </row>
    <row r="356" spans="1:9" s="55" customFormat="1" ht="47.25">
      <c r="A356" s="58" t="s">
        <v>292</v>
      </c>
      <c r="B356" s="19" t="s">
        <v>28</v>
      </c>
      <c r="C356" s="19" t="s">
        <v>18</v>
      </c>
      <c r="D356" s="19" t="s">
        <v>147</v>
      </c>
      <c r="E356" s="23"/>
      <c r="F356" s="25"/>
      <c r="G356" s="26">
        <f aca="true" t="shared" si="22" ref="G356:I357">G357</f>
        <v>4.76</v>
      </c>
      <c r="H356" s="26">
        <f t="shared" si="22"/>
        <v>0</v>
      </c>
      <c r="I356" s="26">
        <f t="shared" si="22"/>
        <v>0</v>
      </c>
    </row>
    <row r="357" spans="1:9" s="55" customFormat="1" ht="31.5">
      <c r="A357" s="45" t="s">
        <v>210</v>
      </c>
      <c r="B357" s="19" t="s">
        <v>28</v>
      </c>
      <c r="C357" s="19" t="s">
        <v>18</v>
      </c>
      <c r="D357" s="23" t="s">
        <v>148</v>
      </c>
      <c r="E357" s="23"/>
      <c r="F357" s="25"/>
      <c r="G357" s="26">
        <f t="shared" si="22"/>
        <v>4.76</v>
      </c>
      <c r="H357" s="26">
        <f t="shared" si="22"/>
        <v>0</v>
      </c>
      <c r="I357" s="26">
        <f t="shared" si="22"/>
        <v>0</v>
      </c>
    </row>
    <row r="358" spans="1:9" s="55" customFormat="1" ht="47.25">
      <c r="A358" s="64" t="s">
        <v>72</v>
      </c>
      <c r="B358" s="19" t="s">
        <v>28</v>
      </c>
      <c r="C358" s="19" t="s">
        <v>18</v>
      </c>
      <c r="D358" s="23" t="s">
        <v>148</v>
      </c>
      <c r="E358" s="23" t="s">
        <v>71</v>
      </c>
      <c r="F358" s="25"/>
      <c r="G358" s="26">
        <f>3.36+1.4</f>
        <v>4.76</v>
      </c>
      <c r="H358" s="26"/>
      <c r="I358" s="26"/>
    </row>
    <row r="359" spans="1:9" s="3" customFormat="1" ht="63">
      <c r="A359" s="58" t="s">
        <v>214</v>
      </c>
      <c r="B359" s="19" t="s">
        <v>28</v>
      </c>
      <c r="C359" s="19" t="s">
        <v>18</v>
      </c>
      <c r="D359" s="19" t="s">
        <v>152</v>
      </c>
      <c r="E359" s="19"/>
      <c r="F359" s="14"/>
      <c r="G359" s="15">
        <f aca="true" t="shared" si="23" ref="G359:I360">G360</f>
        <v>10</v>
      </c>
      <c r="H359" s="15">
        <f t="shared" si="23"/>
        <v>0</v>
      </c>
      <c r="I359" s="15">
        <f t="shared" si="23"/>
        <v>0</v>
      </c>
    </row>
    <row r="360" spans="1:9" s="3" customFormat="1" ht="31.5">
      <c r="A360" s="40" t="s">
        <v>211</v>
      </c>
      <c r="B360" s="19" t="s">
        <v>28</v>
      </c>
      <c r="C360" s="19" t="s">
        <v>18</v>
      </c>
      <c r="D360" s="19" t="s">
        <v>153</v>
      </c>
      <c r="E360" s="19"/>
      <c r="F360" s="14"/>
      <c r="G360" s="15">
        <f t="shared" si="23"/>
        <v>10</v>
      </c>
      <c r="H360" s="15">
        <f t="shared" si="23"/>
        <v>0</v>
      </c>
      <c r="I360" s="15">
        <f t="shared" si="23"/>
        <v>0</v>
      </c>
    </row>
    <row r="361" spans="1:9" s="3" customFormat="1" ht="47.25">
      <c r="A361" s="64" t="s">
        <v>72</v>
      </c>
      <c r="B361" s="19" t="s">
        <v>28</v>
      </c>
      <c r="C361" s="19" t="s">
        <v>18</v>
      </c>
      <c r="D361" s="19" t="s">
        <v>153</v>
      </c>
      <c r="E361" s="19" t="s">
        <v>71</v>
      </c>
      <c r="F361" s="14"/>
      <c r="G361" s="15">
        <f>5+4-1+4-2</f>
        <v>10</v>
      </c>
      <c r="H361" s="15"/>
      <c r="I361" s="15"/>
    </row>
    <row r="362" spans="1:9" s="52" customFormat="1" ht="29.25" customHeight="1">
      <c r="A362" s="34" t="s">
        <v>32</v>
      </c>
      <c r="B362" s="9" t="s">
        <v>28</v>
      </c>
      <c r="C362" s="9" t="s">
        <v>28</v>
      </c>
      <c r="D362" s="9"/>
      <c r="E362" s="9"/>
      <c r="F362" s="11" t="e">
        <f>#REF!+#REF!</f>
        <v>#REF!</v>
      </c>
      <c r="G362" s="12">
        <f>G363</f>
        <v>991.196</v>
      </c>
      <c r="H362" s="12">
        <f>H363</f>
        <v>987.6</v>
      </c>
      <c r="I362" s="12">
        <f>I363</f>
        <v>987.6</v>
      </c>
    </row>
    <row r="363" spans="1:9" s="52" customFormat="1" ht="78.75">
      <c r="A363" s="70" t="s">
        <v>288</v>
      </c>
      <c r="B363" s="23" t="s">
        <v>28</v>
      </c>
      <c r="C363" s="24" t="s">
        <v>28</v>
      </c>
      <c r="D363" s="24" t="s">
        <v>159</v>
      </c>
      <c r="E363" s="24"/>
      <c r="F363" s="11"/>
      <c r="G363" s="26">
        <f>G364+G366+G368</f>
        <v>991.196</v>
      </c>
      <c r="H363" s="26">
        <f>H364+H366+H368</f>
        <v>987.6</v>
      </c>
      <c r="I363" s="26">
        <f>I364+I366+I368</f>
        <v>987.6</v>
      </c>
    </row>
    <row r="364" spans="1:9" s="52" customFormat="1" ht="95.25" customHeight="1">
      <c r="A364" s="77" t="s">
        <v>104</v>
      </c>
      <c r="B364" s="23" t="s">
        <v>28</v>
      </c>
      <c r="C364" s="24" t="s">
        <v>28</v>
      </c>
      <c r="D364" s="24" t="s">
        <v>160</v>
      </c>
      <c r="E364" s="24"/>
      <c r="F364" s="11"/>
      <c r="G364" s="26">
        <f>G365</f>
        <v>53.596000000000004</v>
      </c>
      <c r="H364" s="26">
        <f>H365</f>
        <v>50</v>
      </c>
      <c r="I364" s="26">
        <f>I365</f>
        <v>50</v>
      </c>
    </row>
    <row r="365" spans="1:9" s="52" customFormat="1" ht="47.25">
      <c r="A365" s="64" t="s">
        <v>72</v>
      </c>
      <c r="B365" s="23" t="s">
        <v>28</v>
      </c>
      <c r="C365" s="24" t="s">
        <v>28</v>
      </c>
      <c r="D365" s="24" t="s">
        <v>160</v>
      </c>
      <c r="E365" s="24" t="s">
        <v>71</v>
      </c>
      <c r="F365" s="11"/>
      <c r="G365" s="26">
        <f>50+3.596</f>
        <v>53.596000000000004</v>
      </c>
      <c r="H365" s="26">
        <v>50</v>
      </c>
      <c r="I365" s="26">
        <v>50</v>
      </c>
    </row>
    <row r="366" spans="1:9" s="52" customFormat="1" ht="63" hidden="1">
      <c r="A366" s="32" t="s">
        <v>181</v>
      </c>
      <c r="B366" s="23" t="s">
        <v>28</v>
      </c>
      <c r="C366" s="24" t="s">
        <v>28</v>
      </c>
      <c r="D366" s="24" t="s">
        <v>182</v>
      </c>
      <c r="E366" s="24"/>
      <c r="F366" s="11"/>
      <c r="G366" s="26">
        <f>G367</f>
        <v>0</v>
      </c>
      <c r="H366" s="26">
        <f>H367</f>
        <v>0</v>
      </c>
      <c r="I366" s="26">
        <f>I367</f>
        <v>0</v>
      </c>
    </row>
    <row r="367" spans="1:9" s="52" customFormat="1" ht="47.25" hidden="1">
      <c r="A367" s="32" t="s">
        <v>72</v>
      </c>
      <c r="B367" s="23" t="s">
        <v>28</v>
      </c>
      <c r="C367" s="24" t="s">
        <v>28</v>
      </c>
      <c r="D367" s="24" t="s">
        <v>182</v>
      </c>
      <c r="E367" s="24" t="s">
        <v>71</v>
      </c>
      <c r="F367" s="11"/>
      <c r="G367" s="26"/>
      <c r="H367" s="26"/>
      <c r="I367" s="26"/>
    </row>
    <row r="368" spans="1:9" s="52" customFormat="1" ht="60" customHeight="1">
      <c r="A368" s="45" t="s">
        <v>276</v>
      </c>
      <c r="B368" s="23" t="s">
        <v>28</v>
      </c>
      <c r="C368" s="23" t="s">
        <v>28</v>
      </c>
      <c r="D368" s="23" t="s">
        <v>309</v>
      </c>
      <c r="E368" s="23"/>
      <c r="F368" s="11"/>
      <c r="G368" s="26">
        <f>G369</f>
        <v>937.6</v>
      </c>
      <c r="H368" s="26">
        <f>H369</f>
        <v>937.6</v>
      </c>
      <c r="I368" s="26">
        <f>I369</f>
        <v>937.6</v>
      </c>
    </row>
    <row r="369" spans="1:9" s="52" customFormat="1" ht="47.25">
      <c r="A369" s="32" t="s">
        <v>72</v>
      </c>
      <c r="B369" s="23" t="s">
        <v>28</v>
      </c>
      <c r="C369" s="23" t="s">
        <v>28</v>
      </c>
      <c r="D369" s="23" t="s">
        <v>309</v>
      </c>
      <c r="E369" s="23" t="s">
        <v>71</v>
      </c>
      <c r="F369" s="11"/>
      <c r="G369" s="26">
        <v>937.6</v>
      </c>
      <c r="H369" s="26">
        <v>937.6</v>
      </c>
      <c r="I369" s="26">
        <v>937.6</v>
      </c>
    </row>
    <row r="370" spans="1:9" s="52" customFormat="1" ht="15.75">
      <c r="A370" s="34" t="s">
        <v>54</v>
      </c>
      <c r="B370" s="9" t="s">
        <v>33</v>
      </c>
      <c r="C370" s="9"/>
      <c r="D370" s="9"/>
      <c r="E370" s="9"/>
      <c r="F370" s="11" t="e">
        <f>F371+#REF!+#REF!</f>
        <v>#REF!</v>
      </c>
      <c r="G370" s="12">
        <f>G371</f>
        <v>7064.794999999999</v>
      </c>
      <c r="H370" s="12">
        <f>H371</f>
        <v>6115.3</v>
      </c>
      <c r="I370" s="12">
        <f>I371</f>
        <v>6215.3</v>
      </c>
    </row>
    <row r="371" spans="1:9" s="52" customFormat="1" ht="15.75">
      <c r="A371" s="34" t="s">
        <v>34</v>
      </c>
      <c r="B371" s="9" t="s">
        <v>33</v>
      </c>
      <c r="C371" s="9" t="s">
        <v>6</v>
      </c>
      <c r="D371" s="9"/>
      <c r="E371" s="9"/>
      <c r="F371" s="11" t="e">
        <f>#REF!+F398+#REF!+#REF!</f>
        <v>#REF!</v>
      </c>
      <c r="G371" s="12">
        <f>G387+G396+G400+G409+G372</f>
        <v>7064.794999999999</v>
      </c>
      <c r="H371" s="12">
        <f>H387+H396+H400+H409+H372</f>
        <v>6115.3</v>
      </c>
      <c r="I371" s="12">
        <f>I387+I396+I400+I409+I372</f>
        <v>6215.3</v>
      </c>
    </row>
    <row r="372" spans="1:9" s="52" customFormat="1" ht="62.25" customHeight="1">
      <c r="A372" s="73" t="s">
        <v>287</v>
      </c>
      <c r="B372" s="23" t="s">
        <v>33</v>
      </c>
      <c r="C372" s="23" t="s">
        <v>6</v>
      </c>
      <c r="D372" s="23" t="s">
        <v>223</v>
      </c>
      <c r="E372" s="23"/>
      <c r="F372" s="25"/>
      <c r="G372" s="26">
        <f>G373+G383</f>
        <v>1489.2789999999998</v>
      </c>
      <c r="H372" s="26">
        <f>H373+H383</f>
        <v>0</v>
      </c>
      <c r="I372" s="26">
        <f>I373+I383</f>
        <v>0</v>
      </c>
    </row>
    <row r="373" spans="1:9" s="56" customFormat="1" ht="63">
      <c r="A373" s="84" t="s">
        <v>360</v>
      </c>
      <c r="B373" s="23" t="s">
        <v>33</v>
      </c>
      <c r="C373" s="23" t="s">
        <v>6</v>
      </c>
      <c r="D373" s="23" t="s">
        <v>224</v>
      </c>
      <c r="E373" s="23"/>
      <c r="F373" s="25"/>
      <c r="G373" s="26">
        <f>G374</f>
        <v>1479.2789999999998</v>
      </c>
      <c r="H373" s="26">
        <f>H374</f>
        <v>0</v>
      </c>
      <c r="I373" s="26">
        <f>I374</f>
        <v>0</v>
      </c>
    </row>
    <row r="374" spans="1:9" s="56" customFormat="1" ht="47.25">
      <c r="A374" s="85" t="s">
        <v>320</v>
      </c>
      <c r="B374" s="23" t="s">
        <v>33</v>
      </c>
      <c r="C374" s="23" t="s">
        <v>6</v>
      </c>
      <c r="D374" s="23" t="s">
        <v>225</v>
      </c>
      <c r="E374" s="23"/>
      <c r="F374" s="25"/>
      <c r="G374" s="26">
        <f>G377+G375+G379+G381</f>
        <v>1479.2789999999998</v>
      </c>
      <c r="H374" s="26">
        <f>H377+H375+H379+H381</f>
        <v>0</v>
      </c>
      <c r="I374" s="26">
        <f>I377+I375+I379+I381</f>
        <v>0</v>
      </c>
    </row>
    <row r="375" spans="1:9" s="56" customFormat="1" ht="47.25">
      <c r="A375" s="85" t="s">
        <v>346</v>
      </c>
      <c r="B375" s="23" t="s">
        <v>33</v>
      </c>
      <c r="C375" s="23" t="s">
        <v>6</v>
      </c>
      <c r="D375" s="23" t="s">
        <v>345</v>
      </c>
      <c r="E375" s="23"/>
      <c r="F375" s="25"/>
      <c r="G375" s="26">
        <f>G376</f>
        <v>10.79</v>
      </c>
      <c r="H375" s="26">
        <f>H376</f>
        <v>0</v>
      </c>
      <c r="I375" s="26">
        <f>I376</f>
        <v>0</v>
      </c>
    </row>
    <row r="376" spans="1:9" s="56" customFormat="1" ht="47.25">
      <c r="A376" s="45" t="s">
        <v>72</v>
      </c>
      <c r="B376" s="23" t="s">
        <v>33</v>
      </c>
      <c r="C376" s="23" t="s">
        <v>6</v>
      </c>
      <c r="D376" s="23" t="s">
        <v>345</v>
      </c>
      <c r="E376" s="23" t="s">
        <v>71</v>
      </c>
      <c r="F376" s="25"/>
      <c r="G376" s="26">
        <f>12-1.21</f>
        <v>10.79</v>
      </c>
      <c r="H376" s="26"/>
      <c r="I376" s="26"/>
    </row>
    <row r="377" spans="1:9" s="56" customFormat="1" ht="47.25">
      <c r="A377" s="85" t="s">
        <v>321</v>
      </c>
      <c r="B377" s="23" t="s">
        <v>33</v>
      </c>
      <c r="C377" s="23" t="s">
        <v>6</v>
      </c>
      <c r="D377" s="23" t="s">
        <v>319</v>
      </c>
      <c r="E377" s="23"/>
      <c r="F377" s="25"/>
      <c r="G377" s="26">
        <f>G378</f>
        <v>12.058999999999997</v>
      </c>
      <c r="H377" s="26">
        <f>H378</f>
        <v>0</v>
      </c>
      <c r="I377" s="26">
        <f>I378</f>
        <v>0</v>
      </c>
    </row>
    <row r="378" spans="1:9" s="56" customFormat="1" ht="31.5">
      <c r="A378" s="94" t="s">
        <v>62</v>
      </c>
      <c r="B378" s="23" t="s">
        <v>33</v>
      </c>
      <c r="C378" s="23" t="s">
        <v>6</v>
      </c>
      <c r="D378" s="23" t="s">
        <v>319</v>
      </c>
      <c r="E378" s="23" t="s">
        <v>61</v>
      </c>
      <c r="F378" s="25"/>
      <c r="G378" s="26">
        <f>80-67.941</f>
        <v>12.058999999999997</v>
      </c>
      <c r="H378" s="26"/>
      <c r="I378" s="26"/>
    </row>
    <row r="379" spans="1:9" s="56" customFormat="1" ht="63">
      <c r="A379" s="94" t="s">
        <v>349</v>
      </c>
      <c r="B379" s="23" t="s">
        <v>33</v>
      </c>
      <c r="C379" s="23" t="s">
        <v>6</v>
      </c>
      <c r="D379" s="23" t="s">
        <v>348</v>
      </c>
      <c r="E379" s="23"/>
      <c r="F379" s="25"/>
      <c r="G379" s="26">
        <f>G380</f>
        <v>1445.541</v>
      </c>
      <c r="H379" s="26">
        <f>H380</f>
        <v>0</v>
      </c>
      <c r="I379" s="26">
        <f>I380</f>
        <v>0</v>
      </c>
    </row>
    <row r="380" spans="1:9" s="56" customFormat="1" ht="31.5">
      <c r="A380" s="94" t="s">
        <v>62</v>
      </c>
      <c r="B380" s="23" t="s">
        <v>33</v>
      </c>
      <c r="C380" s="23" t="s">
        <v>6</v>
      </c>
      <c r="D380" s="23" t="s">
        <v>348</v>
      </c>
      <c r="E380" s="23" t="s">
        <v>61</v>
      </c>
      <c r="F380" s="25"/>
      <c r="G380" s="26">
        <f>1377.6+67.941</f>
        <v>1445.541</v>
      </c>
      <c r="H380" s="26"/>
      <c r="I380" s="26"/>
    </row>
    <row r="381" spans="1:9" s="56" customFormat="1" ht="47.25">
      <c r="A381" s="94" t="s">
        <v>362</v>
      </c>
      <c r="B381" s="23" t="s">
        <v>33</v>
      </c>
      <c r="C381" s="23" t="s">
        <v>6</v>
      </c>
      <c r="D381" s="23" t="s">
        <v>361</v>
      </c>
      <c r="E381" s="23"/>
      <c r="F381" s="25"/>
      <c r="G381" s="26">
        <f>G382</f>
        <v>10.889</v>
      </c>
      <c r="H381" s="26">
        <f>H382</f>
        <v>0</v>
      </c>
      <c r="I381" s="26">
        <f>I382</f>
        <v>0</v>
      </c>
    </row>
    <row r="382" spans="1:9" s="56" customFormat="1" ht="47.25">
      <c r="A382" s="45" t="s">
        <v>72</v>
      </c>
      <c r="B382" s="23" t="s">
        <v>33</v>
      </c>
      <c r="C382" s="23" t="s">
        <v>6</v>
      </c>
      <c r="D382" s="23" t="s">
        <v>361</v>
      </c>
      <c r="E382" s="23" t="s">
        <v>71</v>
      </c>
      <c r="F382" s="25"/>
      <c r="G382" s="26">
        <f>9.679+1.21</f>
        <v>10.889</v>
      </c>
      <c r="H382" s="26"/>
      <c r="I382" s="26"/>
    </row>
    <row r="383" spans="1:9" s="56" customFormat="1" ht="31.5">
      <c r="A383" s="94" t="s">
        <v>325</v>
      </c>
      <c r="B383" s="23" t="s">
        <v>33</v>
      </c>
      <c r="C383" s="23" t="s">
        <v>6</v>
      </c>
      <c r="D383" s="23" t="s">
        <v>322</v>
      </c>
      <c r="E383" s="23"/>
      <c r="F383" s="25"/>
      <c r="G383" s="26">
        <f aca="true" t="shared" si="24" ref="G383:I385">G384</f>
        <v>10</v>
      </c>
      <c r="H383" s="26">
        <f t="shared" si="24"/>
        <v>0</v>
      </c>
      <c r="I383" s="26">
        <f t="shared" si="24"/>
        <v>0</v>
      </c>
    </row>
    <row r="384" spans="1:9" s="56" customFormat="1" ht="78.75">
      <c r="A384" s="94" t="s">
        <v>343</v>
      </c>
      <c r="B384" s="23" t="s">
        <v>33</v>
      </c>
      <c r="C384" s="23" t="s">
        <v>6</v>
      </c>
      <c r="D384" s="23" t="s">
        <v>323</v>
      </c>
      <c r="E384" s="23"/>
      <c r="F384" s="25"/>
      <c r="G384" s="26">
        <f t="shared" si="24"/>
        <v>10</v>
      </c>
      <c r="H384" s="26">
        <f t="shared" si="24"/>
        <v>0</v>
      </c>
      <c r="I384" s="26">
        <f t="shared" si="24"/>
        <v>0</v>
      </c>
    </row>
    <row r="385" spans="1:9" s="56" customFormat="1" ht="47.25">
      <c r="A385" s="94" t="s">
        <v>326</v>
      </c>
      <c r="B385" s="23" t="s">
        <v>33</v>
      </c>
      <c r="C385" s="23" t="s">
        <v>6</v>
      </c>
      <c r="D385" s="23" t="s">
        <v>324</v>
      </c>
      <c r="E385" s="23"/>
      <c r="F385" s="25"/>
      <c r="G385" s="26">
        <f t="shared" si="24"/>
        <v>10</v>
      </c>
      <c r="H385" s="26">
        <f t="shared" si="24"/>
        <v>0</v>
      </c>
      <c r="I385" s="26">
        <f t="shared" si="24"/>
        <v>0</v>
      </c>
    </row>
    <row r="386" spans="1:9" s="56" customFormat="1" ht="47.25">
      <c r="A386" s="45" t="s">
        <v>72</v>
      </c>
      <c r="B386" s="23" t="s">
        <v>33</v>
      </c>
      <c r="C386" s="23" t="s">
        <v>6</v>
      </c>
      <c r="D386" s="23" t="s">
        <v>324</v>
      </c>
      <c r="E386" s="23" t="s">
        <v>71</v>
      </c>
      <c r="F386" s="25"/>
      <c r="G386" s="26">
        <v>10</v>
      </c>
      <c r="H386" s="26"/>
      <c r="I386" s="26"/>
    </row>
    <row r="387" spans="1:9" s="3" customFormat="1" ht="75.75" customHeight="1">
      <c r="A387" s="81" t="s">
        <v>334</v>
      </c>
      <c r="B387" s="19" t="s">
        <v>33</v>
      </c>
      <c r="C387" s="19" t="s">
        <v>6</v>
      </c>
      <c r="D387" s="19" t="s">
        <v>163</v>
      </c>
      <c r="E387" s="19"/>
      <c r="F387" s="14"/>
      <c r="G387" s="15">
        <f>G388</f>
        <v>427.81600000000003</v>
      </c>
      <c r="H387" s="15">
        <f>H388</f>
        <v>628.3000000000001</v>
      </c>
      <c r="I387" s="15">
        <f>I388</f>
        <v>648.3000000000001</v>
      </c>
    </row>
    <row r="388" spans="1:9" s="3" customFormat="1" ht="31.5">
      <c r="A388" s="45" t="s">
        <v>212</v>
      </c>
      <c r="B388" s="19" t="s">
        <v>33</v>
      </c>
      <c r="C388" s="19" t="s">
        <v>6</v>
      </c>
      <c r="D388" s="19" t="s">
        <v>164</v>
      </c>
      <c r="E388" s="19"/>
      <c r="F388" s="14"/>
      <c r="G388" s="15">
        <f>G389+G390+G392+G394+G391+G393+G395</f>
        <v>427.81600000000003</v>
      </c>
      <c r="H388" s="15">
        <f>H389+H390+H392+H394+H391+H393+H395</f>
        <v>628.3000000000001</v>
      </c>
      <c r="I388" s="15">
        <f>I389+I390+I392+I394+I391+I393+I395</f>
        <v>648.3000000000001</v>
      </c>
    </row>
    <row r="389" spans="1:9" s="3" customFormat="1" ht="15.75">
      <c r="A389" s="32" t="s">
        <v>184</v>
      </c>
      <c r="B389" s="19" t="s">
        <v>33</v>
      </c>
      <c r="C389" s="19" t="s">
        <v>6</v>
      </c>
      <c r="D389" s="19" t="s">
        <v>164</v>
      </c>
      <c r="E389" s="19" t="s">
        <v>82</v>
      </c>
      <c r="F389" s="14">
        <f>F390</f>
        <v>6848</v>
      </c>
      <c r="G389" s="15">
        <f>367.7-12.001-108</f>
        <v>247.699</v>
      </c>
      <c r="H389" s="15">
        <v>382.7</v>
      </c>
      <c r="I389" s="15">
        <v>382.7</v>
      </c>
    </row>
    <row r="390" spans="1:9" s="3" customFormat="1" ht="47.25" hidden="1">
      <c r="A390" s="32" t="s">
        <v>79</v>
      </c>
      <c r="B390" s="19" t="s">
        <v>33</v>
      </c>
      <c r="C390" s="19" t="s">
        <v>6</v>
      </c>
      <c r="D390" s="19" t="s">
        <v>164</v>
      </c>
      <c r="E390" s="19" t="s">
        <v>63</v>
      </c>
      <c r="F390" s="14">
        <f>6746+102</f>
        <v>6848</v>
      </c>
      <c r="G390" s="15"/>
      <c r="H390" s="15"/>
      <c r="I390" s="15"/>
    </row>
    <row r="391" spans="1:9" s="3" customFormat="1" ht="63">
      <c r="A391" s="39" t="s">
        <v>185</v>
      </c>
      <c r="B391" s="19" t="s">
        <v>33</v>
      </c>
      <c r="C391" s="19" t="s">
        <v>6</v>
      </c>
      <c r="D391" s="19" t="s">
        <v>164</v>
      </c>
      <c r="E391" s="19" t="s">
        <v>146</v>
      </c>
      <c r="F391" s="14"/>
      <c r="G391" s="15">
        <f>110.6-0.024-0.001-38</f>
        <v>72.57499999999999</v>
      </c>
      <c r="H391" s="15">
        <v>115.6</v>
      </c>
      <c r="I391" s="15">
        <v>115.6</v>
      </c>
    </row>
    <row r="392" spans="1:9" s="3" customFormat="1" ht="47.25">
      <c r="A392" s="32" t="s">
        <v>72</v>
      </c>
      <c r="B392" s="19" t="s">
        <v>33</v>
      </c>
      <c r="C392" s="19" t="s">
        <v>6</v>
      </c>
      <c r="D392" s="19" t="s">
        <v>164</v>
      </c>
      <c r="E392" s="53" t="s">
        <v>71</v>
      </c>
      <c r="F392" s="14">
        <f>F394</f>
        <v>6848</v>
      </c>
      <c r="G392" s="15">
        <f>140-93.684+61.2</f>
        <v>107.516</v>
      </c>
      <c r="H392" s="15">
        <v>130</v>
      </c>
      <c r="I392" s="15">
        <v>150</v>
      </c>
    </row>
    <row r="393" spans="1:9" s="3" customFormat="1" ht="31.5" hidden="1">
      <c r="A393" s="38" t="s">
        <v>73</v>
      </c>
      <c r="B393" s="19" t="s">
        <v>33</v>
      </c>
      <c r="C393" s="19" t="s">
        <v>6</v>
      </c>
      <c r="D393" s="19" t="s">
        <v>164</v>
      </c>
      <c r="E393" s="53" t="s">
        <v>75</v>
      </c>
      <c r="F393" s="14"/>
      <c r="G393" s="15"/>
      <c r="H393" s="15"/>
      <c r="I393" s="15"/>
    </row>
    <row r="394" spans="1:9" s="3" customFormat="1" ht="31.5" hidden="1">
      <c r="A394" s="38" t="s">
        <v>80</v>
      </c>
      <c r="B394" s="19" t="s">
        <v>33</v>
      </c>
      <c r="C394" s="19" t="s">
        <v>6</v>
      </c>
      <c r="D394" s="19" t="s">
        <v>164</v>
      </c>
      <c r="E394" s="53" t="s">
        <v>83</v>
      </c>
      <c r="F394" s="14">
        <f>6746+102</f>
        <v>6848</v>
      </c>
      <c r="G394" s="15"/>
      <c r="H394" s="15"/>
      <c r="I394" s="15"/>
    </row>
    <row r="395" spans="1:9" s="3" customFormat="1" ht="15.75">
      <c r="A395" s="75" t="s">
        <v>204</v>
      </c>
      <c r="B395" s="19" t="s">
        <v>33</v>
      </c>
      <c r="C395" s="19" t="s">
        <v>6</v>
      </c>
      <c r="D395" s="19" t="s">
        <v>164</v>
      </c>
      <c r="E395" s="53" t="s">
        <v>202</v>
      </c>
      <c r="F395" s="14"/>
      <c r="G395" s="15">
        <f>0.001+0.024+0.001</f>
        <v>0.026000000000000002</v>
      </c>
      <c r="H395" s="15"/>
      <c r="I395" s="15"/>
    </row>
    <row r="396" spans="1:9" s="3" customFormat="1" ht="126">
      <c r="A396" s="76" t="s">
        <v>286</v>
      </c>
      <c r="B396" s="19" t="s">
        <v>33</v>
      </c>
      <c r="C396" s="19" t="s">
        <v>6</v>
      </c>
      <c r="D396" s="19" t="s">
        <v>165</v>
      </c>
      <c r="E396" s="19"/>
      <c r="F396" s="14"/>
      <c r="G396" s="15">
        <f>G397</f>
        <v>3476</v>
      </c>
      <c r="H396" s="15">
        <f>H397</f>
        <v>3750</v>
      </c>
      <c r="I396" s="15">
        <f>I397</f>
        <v>3800</v>
      </c>
    </row>
    <row r="397" spans="1:9" s="3" customFormat="1" ht="31.5">
      <c r="A397" s="50" t="s">
        <v>105</v>
      </c>
      <c r="B397" s="19" t="s">
        <v>33</v>
      </c>
      <c r="C397" s="19" t="s">
        <v>6</v>
      </c>
      <c r="D397" s="19" t="s">
        <v>166</v>
      </c>
      <c r="E397" s="19"/>
      <c r="F397" s="14"/>
      <c r="G397" s="15">
        <f>G398+G399</f>
        <v>3476</v>
      </c>
      <c r="H397" s="15">
        <f>H398+H399</f>
        <v>3750</v>
      </c>
      <c r="I397" s="15">
        <f>I398+I399</f>
        <v>3800</v>
      </c>
    </row>
    <row r="398" spans="1:9" s="3" customFormat="1" ht="81" customHeight="1">
      <c r="A398" s="60" t="s">
        <v>81</v>
      </c>
      <c r="B398" s="19" t="s">
        <v>33</v>
      </c>
      <c r="C398" s="19" t="s">
        <v>6</v>
      </c>
      <c r="D398" s="19" t="s">
        <v>166</v>
      </c>
      <c r="E398" s="19" t="s">
        <v>60</v>
      </c>
      <c r="F398" s="14">
        <f>F400</f>
        <v>280</v>
      </c>
      <c r="G398" s="15">
        <v>3476</v>
      </c>
      <c r="H398" s="15">
        <v>3750</v>
      </c>
      <c r="I398" s="15">
        <v>3800</v>
      </c>
    </row>
    <row r="399" spans="1:9" s="3" customFormat="1" ht="31.5" hidden="1">
      <c r="A399" s="60" t="s">
        <v>62</v>
      </c>
      <c r="B399" s="19" t="s">
        <v>33</v>
      </c>
      <c r="C399" s="19" t="s">
        <v>6</v>
      </c>
      <c r="D399" s="19" t="s">
        <v>166</v>
      </c>
      <c r="E399" s="19" t="s">
        <v>61</v>
      </c>
      <c r="F399" s="14">
        <f>F400</f>
        <v>280</v>
      </c>
      <c r="G399" s="15">
        <f>155-155</f>
        <v>0</v>
      </c>
      <c r="H399" s="15"/>
      <c r="I399" s="15"/>
    </row>
    <row r="400" spans="1:9" s="3" customFormat="1" ht="63">
      <c r="A400" s="76" t="s">
        <v>285</v>
      </c>
      <c r="B400" s="19" t="s">
        <v>33</v>
      </c>
      <c r="C400" s="19" t="s">
        <v>6</v>
      </c>
      <c r="D400" s="19" t="s">
        <v>167</v>
      </c>
      <c r="E400" s="19"/>
      <c r="F400" s="14">
        <v>280</v>
      </c>
      <c r="G400" s="15">
        <f>G401</f>
        <v>1671.7</v>
      </c>
      <c r="H400" s="15">
        <f>H401</f>
        <v>1737</v>
      </c>
      <c r="I400" s="15">
        <f>I401</f>
        <v>1767</v>
      </c>
    </row>
    <row r="401" spans="1:9" s="3" customFormat="1" ht="31.5">
      <c r="A401" s="50" t="s">
        <v>212</v>
      </c>
      <c r="B401" s="19" t="s">
        <v>33</v>
      </c>
      <c r="C401" s="19" t="s">
        <v>6</v>
      </c>
      <c r="D401" s="19" t="s">
        <v>168</v>
      </c>
      <c r="E401" s="19"/>
      <c r="F401" s="14"/>
      <c r="G401" s="15">
        <f>G402+G403+G405+G407+G404+G406+G408</f>
        <v>1671.7</v>
      </c>
      <c r="H401" s="15">
        <f>H402+H403+H405+H407+H404+H406+H408</f>
        <v>1737</v>
      </c>
      <c r="I401" s="15">
        <f>I402+I403+I405+I407+I404+I406+I408</f>
        <v>1767</v>
      </c>
    </row>
    <row r="402" spans="1:9" s="3" customFormat="1" ht="15.75">
      <c r="A402" s="64" t="s">
        <v>184</v>
      </c>
      <c r="B402" s="19" t="s">
        <v>33</v>
      </c>
      <c r="C402" s="19" t="s">
        <v>6</v>
      </c>
      <c r="D402" s="19" t="s">
        <v>168</v>
      </c>
      <c r="E402" s="19" t="s">
        <v>82</v>
      </c>
      <c r="F402" s="14"/>
      <c r="G402" s="15">
        <f>1205.3-0.026</f>
        <v>1205.274</v>
      </c>
      <c r="H402" s="15">
        <v>1257.3</v>
      </c>
      <c r="I402" s="15">
        <v>1257.3</v>
      </c>
    </row>
    <row r="403" spans="1:9" s="3" customFormat="1" ht="47.25" hidden="1">
      <c r="A403" s="64" t="s">
        <v>79</v>
      </c>
      <c r="B403" s="19" t="s">
        <v>33</v>
      </c>
      <c r="C403" s="19" t="s">
        <v>6</v>
      </c>
      <c r="D403" s="19" t="s">
        <v>168</v>
      </c>
      <c r="E403" s="19" t="s">
        <v>63</v>
      </c>
      <c r="F403" s="14"/>
      <c r="G403" s="15"/>
      <c r="H403" s="15"/>
      <c r="I403" s="15"/>
    </row>
    <row r="404" spans="1:9" s="3" customFormat="1" ht="63">
      <c r="A404" s="39" t="s">
        <v>185</v>
      </c>
      <c r="B404" s="19" t="s">
        <v>33</v>
      </c>
      <c r="C404" s="19" t="s">
        <v>6</v>
      </c>
      <c r="D404" s="19" t="s">
        <v>168</v>
      </c>
      <c r="E404" s="19" t="s">
        <v>146</v>
      </c>
      <c r="F404" s="14"/>
      <c r="G404" s="15">
        <f>379.7-1.022-0.001-0.004-0.01</f>
        <v>378.663</v>
      </c>
      <c r="H404" s="15">
        <v>379.7</v>
      </c>
      <c r="I404" s="15">
        <v>379.7</v>
      </c>
    </row>
    <row r="405" spans="1:9" s="3" customFormat="1" ht="47.25">
      <c r="A405" s="64" t="s">
        <v>72</v>
      </c>
      <c r="B405" s="19" t="s">
        <v>33</v>
      </c>
      <c r="C405" s="19" t="s">
        <v>6</v>
      </c>
      <c r="D405" s="19" t="s">
        <v>168</v>
      </c>
      <c r="E405" s="53" t="s">
        <v>71</v>
      </c>
      <c r="F405" s="14"/>
      <c r="G405" s="15">
        <f>90-3.3</f>
        <v>86.7</v>
      </c>
      <c r="H405" s="15">
        <v>100</v>
      </c>
      <c r="I405" s="15">
        <v>130</v>
      </c>
    </row>
    <row r="406" spans="1:9" s="3" customFormat="1" ht="47.25" hidden="1">
      <c r="A406" s="75" t="s">
        <v>100</v>
      </c>
      <c r="B406" s="19" t="s">
        <v>33</v>
      </c>
      <c r="C406" s="19" t="s">
        <v>6</v>
      </c>
      <c r="D406" s="19" t="s">
        <v>168</v>
      </c>
      <c r="E406" s="53" t="s">
        <v>98</v>
      </c>
      <c r="F406" s="14"/>
      <c r="G406" s="15"/>
      <c r="H406" s="15"/>
      <c r="I406" s="15"/>
    </row>
    <row r="407" spans="1:9" s="3" customFormat="1" ht="31.5" hidden="1">
      <c r="A407" s="75" t="s">
        <v>80</v>
      </c>
      <c r="B407" s="19" t="s">
        <v>33</v>
      </c>
      <c r="C407" s="19" t="s">
        <v>6</v>
      </c>
      <c r="D407" s="19" t="s">
        <v>168</v>
      </c>
      <c r="E407" s="53" t="s">
        <v>83</v>
      </c>
      <c r="F407" s="14"/>
      <c r="G407" s="15"/>
      <c r="H407" s="15"/>
      <c r="I407" s="15"/>
    </row>
    <row r="408" spans="1:9" s="3" customFormat="1" ht="15.75">
      <c r="A408" s="75" t="s">
        <v>204</v>
      </c>
      <c r="B408" s="19" t="s">
        <v>33</v>
      </c>
      <c r="C408" s="19" t="s">
        <v>6</v>
      </c>
      <c r="D408" s="19" t="s">
        <v>168</v>
      </c>
      <c r="E408" s="53" t="s">
        <v>202</v>
      </c>
      <c r="F408" s="14"/>
      <c r="G408" s="15">
        <f>1.022+0.001+0.004+0.01+0.026</f>
        <v>1.063</v>
      </c>
      <c r="H408" s="15"/>
      <c r="I408" s="15"/>
    </row>
    <row r="409" spans="1:9" s="3" customFormat="1" ht="31.5" hidden="1">
      <c r="A409" s="64" t="s">
        <v>74</v>
      </c>
      <c r="B409" s="24" t="s">
        <v>33</v>
      </c>
      <c r="C409" s="24" t="s">
        <v>6</v>
      </c>
      <c r="D409" s="24" t="s">
        <v>116</v>
      </c>
      <c r="E409" s="19"/>
      <c r="F409" s="14"/>
      <c r="G409" s="15">
        <f aca="true" t="shared" si="25" ref="G409:I410">G410</f>
        <v>0</v>
      </c>
      <c r="H409" s="15">
        <f t="shared" si="25"/>
        <v>0</v>
      </c>
      <c r="I409" s="15">
        <f t="shared" si="25"/>
        <v>0</v>
      </c>
    </row>
    <row r="410" spans="1:9" s="3" customFormat="1" ht="77.25" customHeight="1" hidden="1">
      <c r="A410" s="40" t="s">
        <v>89</v>
      </c>
      <c r="B410" s="19" t="s">
        <v>33</v>
      </c>
      <c r="C410" s="19" t="s">
        <v>6</v>
      </c>
      <c r="D410" s="19" t="s">
        <v>169</v>
      </c>
      <c r="E410" s="19"/>
      <c r="F410" s="14"/>
      <c r="G410" s="15">
        <f t="shared" si="25"/>
        <v>0</v>
      </c>
      <c r="H410" s="15">
        <f t="shared" si="25"/>
        <v>0</v>
      </c>
      <c r="I410" s="15">
        <f t="shared" si="25"/>
        <v>0</v>
      </c>
    </row>
    <row r="411" spans="1:9" s="3" customFormat="1" ht="47.25" hidden="1">
      <c r="A411" s="32" t="s">
        <v>72</v>
      </c>
      <c r="B411" s="19" t="s">
        <v>33</v>
      </c>
      <c r="C411" s="19" t="s">
        <v>6</v>
      </c>
      <c r="D411" s="19" t="s">
        <v>169</v>
      </c>
      <c r="E411" s="19" t="s">
        <v>71</v>
      </c>
      <c r="F411" s="14"/>
      <c r="G411" s="15"/>
      <c r="H411" s="15"/>
      <c r="I411" s="15"/>
    </row>
    <row r="412" spans="1:9" s="55" customFormat="1" ht="15.75">
      <c r="A412" s="34" t="s">
        <v>38</v>
      </c>
      <c r="B412" s="9" t="s">
        <v>37</v>
      </c>
      <c r="C412" s="9"/>
      <c r="D412" s="9"/>
      <c r="E412" s="9"/>
      <c r="F412" s="11" t="e">
        <f>F417+F433+#REF!</f>
        <v>#REF!</v>
      </c>
      <c r="G412" s="12">
        <f>G413+G417+G433+G441</f>
        <v>26624.500000000004</v>
      </c>
      <c r="H412" s="12">
        <f>H413+H417+H433+H441</f>
        <v>24430.9</v>
      </c>
      <c r="I412" s="12">
        <f>I413+I417+I433+I441</f>
        <v>24440.9</v>
      </c>
    </row>
    <row r="413" spans="1:9" s="55" customFormat="1" ht="15.75">
      <c r="A413" s="42" t="s">
        <v>50</v>
      </c>
      <c r="B413" s="13" t="s">
        <v>37</v>
      </c>
      <c r="C413" s="13" t="s">
        <v>6</v>
      </c>
      <c r="D413" s="13"/>
      <c r="E413" s="13"/>
      <c r="F413" s="11" t="e">
        <f>F416+#REF!+#REF!+#REF!+#REF!+#REF!</f>
        <v>#REF!</v>
      </c>
      <c r="G413" s="12">
        <f aca="true" t="shared" si="26" ref="G413:I415">G414</f>
        <v>1000</v>
      </c>
      <c r="H413" s="12">
        <f t="shared" si="26"/>
        <v>1224</v>
      </c>
      <c r="I413" s="12">
        <f t="shared" si="26"/>
        <v>1224</v>
      </c>
    </row>
    <row r="414" spans="1:9" s="55" customFormat="1" ht="31.5">
      <c r="A414" s="64" t="s">
        <v>74</v>
      </c>
      <c r="B414" s="24" t="s">
        <v>37</v>
      </c>
      <c r="C414" s="24" t="s">
        <v>6</v>
      </c>
      <c r="D414" s="24" t="s">
        <v>116</v>
      </c>
      <c r="E414" s="24"/>
      <c r="F414" s="11"/>
      <c r="G414" s="26">
        <f t="shared" si="26"/>
        <v>1000</v>
      </c>
      <c r="H414" s="26">
        <f t="shared" si="26"/>
        <v>1224</v>
      </c>
      <c r="I414" s="26">
        <f t="shared" si="26"/>
        <v>1224</v>
      </c>
    </row>
    <row r="415" spans="1:9" s="3" customFormat="1" ht="47.25">
      <c r="A415" s="51" t="s">
        <v>49</v>
      </c>
      <c r="B415" s="24" t="s">
        <v>37</v>
      </c>
      <c r="C415" s="24" t="s">
        <v>6</v>
      </c>
      <c r="D415" s="10" t="s">
        <v>170</v>
      </c>
      <c r="E415" s="10"/>
      <c r="F415" s="14">
        <f>F416</f>
        <v>3536</v>
      </c>
      <c r="G415" s="15">
        <f t="shared" si="26"/>
        <v>1000</v>
      </c>
      <c r="H415" s="15">
        <f t="shared" si="26"/>
        <v>1224</v>
      </c>
      <c r="I415" s="15">
        <f t="shared" si="26"/>
        <v>1224</v>
      </c>
    </row>
    <row r="416" spans="1:9" s="3" customFormat="1" ht="31.5">
      <c r="A416" s="50" t="s">
        <v>91</v>
      </c>
      <c r="B416" s="24" t="s">
        <v>37</v>
      </c>
      <c r="C416" s="24" t="s">
        <v>6</v>
      </c>
      <c r="D416" s="10" t="s">
        <v>170</v>
      </c>
      <c r="E416" s="10" t="s">
        <v>92</v>
      </c>
      <c r="F416" s="14">
        <v>3536</v>
      </c>
      <c r="G416" s="15">
        <v>1000</v>
      </c>
      <c r="H416" s="15">
        <v>1224</v>
      </c>
      <c r="I416" s="15">
        <v>1224</v>
      </c>
    </row>
    <row r="417" spans="1:9" s="55" customFormat="1" ht="15.75">
      <c r="A417" s="37" t="s">
        <v>39</v>
      </c>
      <c r="B417" s="13" t="s">
        <v>37</v>
      </c>
      <c r="C417" s="13" t="s">
        <v>9</v>
      </c>
      <c r="D417" s="13"/>
      <c r="E417" s="13"/>
      <c r="F417" s="11" t="e">
        <f>#REF!+#REF!+#REF!+#REF!+#REF!+#REF!</f>
        <v>#REF!</v>
      </c>
      <c r="G417" s="12">
        <f>G418</f>
        <v>17240.362</v>
      </c>
      <c r="H417" s="12">
        <f>H418</f>
        <v>17027.7</v>
      </c>
      <c r="I417" s="12">
        <f>I418</f>
        <v>17027.7</v>
      </c>
    </row>
    <row r="418" spans="1:9" s="3" customFormat="1" ht="31.5">
      <c r="A418" s="64" t="s">
        <v>74</v>
      </c>
      <c r="B418" s="24" t="s">
        <v>37</v>
      </c>
      <c r="C418" s="24" t="s">
        <v>9</v>
      </c>
      <c r="D418" s="24" t="s">
        <v>116</v>
      </c>
      <c r="E418" s="24"/>
      <c r="F418" s="14"/>
      <c r="G418" s="15">
        <f>G423+G425+G421+G431+G419</f>
        <v>17240.362</v>
      </c>
      <c r="H418" s="15">
        <f>H423+H425+H421+H431</f>
        <v>17027.7</v>
      </c>
      <c r="I418" s="15">
        <f>I423+I425+I421+I431</f>
        <v>17027.7</v>
      </c>
    </row>
    <row r="419" spans="1:9" s="3" customFormat="1" ht="63" hidden="1">
      <c r="A419" s="64" t="s">
        <v>341</v>
      </c>
      <c r="B419" s="24" t="s">
        <v>37</v>
      </c>
      <c r="C419" s="24" t="s">
        <v>9</v>
      </c>
      <c r="D419" s="24" t="s">
        <v>342</v>
      </c>
      <c r="E419" s="24"/>
      <c r="F419" s="14"/>
      <c r="G419" s="15">
        <f>G420</f>
        <v>0</v>
      </c>
      <c r="H419" s="15">
        <f>H420</f>
        <v>0</v>
      </c>
      <c r="I419" s="15">
        <f>I420</f>
        <v>0</v>
      </c>
    </row>
    <row r="420" spans="1:9" s="3" customFormat="1" ht="47.25" hidden="1">
      <c r="A420" s="64" t="s">
        <v>100</v>
      </c>
      <c r="B420" s="24" t="s">
        <v>37</v>
      </c>
      <c r="C420" s="24" t="s">
        <v>9</v>
      </c>
      <c r="D420" s="24" t="s">
        <v>342</v>
      </c>
      <c r="E420" s="24" t="s">
        <v>98</v>
      </c>
      <c r="F420" s="14"/>
      <c r="G420" s="15"/>
      <c r="H420" s="15"/>
      <c r="I420" s="15"/>
    </row>
    <row r="421" spans="1:9" s="55" customFormat="1" ht="110.25">
      <c r="A421" s="50" t="s">
        <v>277</v>
      </c>
      <c r="B421" s="23" t="s">
        <v>37</v>
      </c>
      <c r="C421" s="23" t="s">
        <v>9</v>
      </c>
      <c r="D421" s="23" t="s">
        <v>171</v>
      </c>
      <c r="E421" s="23"/>
      <c r="F421" s="28"/>
      <c r="G421" s="26">
        <f>G422</f>
        <v>3153.6</v>
      </c>
      <c r="H421" s="26">
        <f>H422</f>
        <v>3153.6</v>
      </c>
      <c r="I421" s="26">
        <f>I422</f>
        <v>3153.6</v>
      </c>
    </row>
    <row r="422" spans="1:9" s="55" customFormat="1" ht="47.25">
      <c r="A422" s="66" t="s">
        <v>93</v>
      </c>
      <c r="B422" s="23" t="s">
        <v>37</v>
      </c>
      <c r="C422" s="23" t="s">
        <v>9</v>
      </c>
      <c r="D422" s="23" t="s">
        <v>171</v>
      </c>
      <c r="E422" s="23" t="s">
        <v>94</v>
      </c>
      <c r="F422" s="28"/>
      <c r="G422" s="26">
        <v>3153.6</v>
      </c>
      <c r="H422" s="26">
        <v>3153.6</v>
      </c>
      <c r="I422" s="26">
        <v>3153.6</v>
      </c>
    </row>
    <row r="423" spans="1:9" s="3" customFormat="1" ht="141.75">
      <c r="A423" s="51" t="s">
        <v>278</v>
      </c>
      <c r="B423" s="24" t="s">
        <v>37</v>
      </c>
      <c r="C423" s="24" t="s">
        <v>9</v>
      </c>
      <c r="D423" s="24" t="s">
        <v>172</v>
      </c>
      <c r="E423" s="24"/>
      <c r="F423" s="14">
        <f>F424</f>
        <v>3536</v>
      </c>
      <c r="G423" s="15">
        <f>G424</f>
        <v>335.7</v>
      </c>
      <c r="H423" s="15">
        <f>H424</f>
        <v>335.7</v>
      </c>
      <c r="I423" s="15">
        <f>I424</f>
        <v>335.7</v>
      </c>
    </row>
    <row r="424" spans="1:9" s="3" customFormat="1" ht="47.25">
      <c r="A424" s="51" t="s">
        <v>93</v>
      </c>
      <c r="B424" s="24" t="s">
        <v>37</v>
      </c>
      <c r="C424" s="24" t="s">
        <v>9</v>
      </c>
      <c r="D424" s="24" t="s">
        <v>172</v>
      </c>
      <c r="E424" s="24" t="s">
        <v>94</v>
      </c>
      <c r="F424" s="14">
        <v>3536</v>
      </c>
      <c r="G424" s="15">
        <v>335.7</v>
      </c>
      <c r="H424" s="15">
        <v>335.7</v>
      </c>
      <c r="I424" s="15">
        <v>335.7</v>
      </c>
    </row>
    <row r="425" spans="1:9" s="3" customFormat="1" ht="37.5" customHeight="1">
      <c r="A425" s="51" t="s">
        <v>279</v>
      </c>
      <c r="B425" s="24" t="s">
        <v>37</v>
      </c>
      <c r="C425" s="24" t="s">
        <v>9</v>
      </c>
      <c r="D425" s="24" t="s">
        <v>173</v>
      </c>
      <c r="E425" s="24"/>
      <c r="F425" s="14"/>
      <c r="G425" s="15">
        <f>G430+G429+G427+G426+G428</f>
        <v>13751.062</v>
      </c>
      <c r="H425" s="15">
        <f>H430+H429+H427+H426+H428</f>
        <v>13538.4</v>
      </c>
      <c r="I425" s="15">
        <f>I430+I429+I427+I426+I428</f>
        <v>13538.4</v>
      </c>
    </row>
    <row r="426" spans="1:9" s="3" customFormat="1" ht="31.5" hidden="1">
      <c r="A426" s="40" t="s">
        <v>142</v>
      </c>
      <c r="B426" s="24" t="s">
        <v>37</v>
      </c>
      <c r="C426" s="24" t="s">
        <v>9</v>
      </c>
      <c r="D426" s="24" t="s">
        <v>173</v>
      </c>
      <c r="E426" s="24" t="s">
        <v>66</v>
      </c>
      <c r="F426" s="14"/>
      <c r="G426" s="26"/>
      <c r="H426" s="15"/>
      <c r="I426" s="15"/>
    </row>
    <row r="427" spans="1:9" s="3" customFormat="1" ht="48.75" customHeight="1" hidden="1">
      <c r="A427" s="40" t="s">
        <v>68</v>
      </c>
      <c r="B427" s="24" t="s">
        <v>37</v>
      </c>
      <c r="C427" s="24" t="s">
        <v>9</v>
      </c>
      <c r="D427" s="24" t="s">
        <v>173</v>
      </c>
      <c r="E427" s="24" t="s">
        <v>70</v>
      </c>
      <c r="F427" s="14"/>
      <c r="G427" s="26"/>
      <c r="H427" s="15"/>
      <c r="I427" s="15"/>
    </row>
    <row r="428" spans="1:9" s="3" customFormat="1" ht="48.75" customHeight="1" hidden="1">
      <c r="A428" s="40" t="s">
        <v>144</v>
      </c>
      <c r="B428" s="24" t="s">
        <v>37</v>
      </c>
      <c r="C428" s="24" t="s">
        <v>9</v>
      </c>
      <c r="D428" s="24" t="s">
        <v>173</v>
      </c>
      <c r="E428" s="24" t="s">
        <v>143</v>
      </c>
      <c r="F428" s="14"/>
      <c r="G428" s="26"/>
      <c r="H428" s="15"/>
      <c r="I428" s="15"/>
    </row>
    <row r="429" spans="1:9" s="3" customFormat="1" ht="48.75" customHeight="1">
      <c r="A429" s="32" t="s">
        <v>72</v>
      </c>
      <c r="B429" s="24" t="s">
        <v>37</v>
      </c>
      <c r="C429" s="24" t="s">
        <v>9</v>
      </c>
      <c r="D429" s="24" t="s">
        <v>173</v>
      </c>
      <c r="E429" s="24" t="s">
        <v>71</v>
      </c>
      <c r="F429" s="14"/>
      <c r="G429" s="26">
        <f>150+5.336+27</f>
        <v>182.336</v>
      </c>
      <c r="H429" s="15">
        <v>150</v>
      </c>
      <c r="I429" s="15">
        <v>150</v>
      </c>
    </row>
    <row r="430" spans="1:9" s="3" customFormat="1" ht="47.25">
      <c r="A430" s="51" t="s">
        <v>93</v>
      </c>
      <c r="B430" s="24" t="s">
        <v>37</v>
      </c>
      <c r="C430" s="24" t="s">
        <v>9</v>
      </c>
      <c r="D430" s="24" t="s">
        <v>173</v>
      </c>
      <c r="E430" s="24" t="s">
        <v>94</v>
      </c>
      <c r="F430" s="14"/>
      <c r="G430" s="26">
        <f>13388.4-113.738-5.336-27+326.4</f>
        <v>13568.726</v>
      </c>
      <c r="H430" s="26">
        <v>13388.4</v>
      </c>
      <c r="I430" s="26">
        <v>13388.4</v>
      </c>
    </row>
    <row r="431" spans="1:9" s="3" customFormat="1" ht="31.5" hidden="1">
      <c r="A431" s="60" t="s">
        <v>174</v>
      </c>
      <c r="B431" s="24" t="s">
        <v>37</v>
      </c>
      <c r="C431" s="24" t="s">
        <v>9</v>
      </c>
      <c r="D431" s="24" t="s">
        <v>175</v>
      </c>
      <c r="E431" s="24"/>
      <c r="F431" s="14"/>
      <c r="G431" s="15">
        <f>G432</f>
        <v>0</v>
      </c>
      <c r="H431" s="15">
        <f>H432</f>
        <v>0</v>
      </c>
      <c r="I431" s="15">
        <f>I432</f>
        <v>0</v>
      </c>
    </row>
    <row r="432" spans="1:9" s="3" customFormat="1" ht="47.25" hidden="1">
      <c r="A432" s="60" t="s">
        <v>100</v>
      </c>
      <c r="B432" s="24" t="s">
        <v>37</v>
      </c>
      <c r="C432" s="24" t="s">
        <v>9</v>
      </c>
      <c r="D432" s="24" t="s">
        <v>175</v>
      </c>
      <c r="E432" s="24" t="s">
        <v>98</v>
      </c>
      <c r="F432" s="14"/>
      <c r="G432" s="15"/>
      <c r="H432" s="15"/>
      <c r="I432" s="15"/>
    </row>
    <row r="433" spans="1:9" s="3" customFormat="1" ht="15.75">
      <c r="A433" s="34" t="s">
        <v>44</v>
      </c>
      <c r="B433" s="9" t="s">
        <v>37</v>
      </c>
      <c r="C433" s="9" t="s">
        <v>11</v>
      </c>
      <c r="D433" s="9"/>
      <c r="E433" s="9"/>
      <c r="F433" s="11" t="e">
        <f>F435+#REF!</f>
        <v>#REF!</v>
      </c>
      <c r="G433" s="12">
        <f>G434</f>
        <v>6755.4</v>
      </c>
      <c r="H433" s="12">
        <f>H434</f>
        <v>4639.2</v>
      </c>
      <c r="I433" s="12">
        <f>I434</f>
        <v>4639.2</v>
      </c>
    </row>
    <row r="434" spans="1:9" s="3" customFormat="1" ht="31.5">
      <c r="A434" s="32" t="s">
        <v>74</v>
      </c>
      <c r="B434" s="19" t="s">
        <v>37</v>
      </c>
      <c r="C434" s="19" t="s">
        <v>11</v>
      </c>
      <c r="D434" s="19" t="s">
        <v>116</v>
      </c>
      <c r="E434" s="19"/>
      <c r="F434" s="14"/>
      <c r="G434" s="15">
        <f>G437+G439+G435</f>
        <v>6755.4</v>
      </c>
      <c r="H434" s="15">
        <f>H437+H439+H435</f>
        <v>4639.2</v>
      </c>
      <c r="I434" s="15">
        <f>I437+I439+I435</f>
        <v>4639.2</v>
      </c>
    </row>
    <row r="435" spans="1:9" s="3" customFormat="1" ht="110.25">
      <c r="A435" s="50" t="s">
        <v>280</v>
      </c>
      <c r="B435" s="19" t="s">
        <v>37</v>
      </c>
      <c r="C435" s="19" t="s">
        <v>11</v>
      </c>
      <c r="D435" s="19" t="s">
        <v>176</v>
      </c>
      <c r="E435" s="19"/>
      <c r="F435" s="14">
        <f>F436</f>
        <v>2455</v>
      </c>
      <c r="G435" s="15">
        <f>G436</f>
        <v>350</v>
      </c>
      <c r="H435" s="15">
        <f>H436</f>
        <v>878.2</v>
      </c>
      <c r="I435" s="15">
        <f>I436</f>
        <v>878.2</v>
      </c>
    </row>
    <row r="436" spans="1:9" s="3" customFormat="1" ht="47.25">
      <c r="A436" s="66" t="s">
        <v>93</v>
      </c>
      <c r="B436" s="19" t="s">
        <v>37</v>
      </c>
      <c r="C436" s="19" t="s">
        <v>11</v>
      </c>
      <c r="D436" s="19" t="s">
        <v>176</v>
      </c>
      <c r="E436" s="19" t="s">
        <v>94</v>
      </c>
      <c r="F436" s="14">
        <v>2455</v>
      </c>
      <c r="G436" s="15">
        <f>878.2-528.2</f>
        <v>350</v>
      </c>
      <c r="H436" s="15">
        <v>878.2</v>
      </c>
      <c r="I436" s="15">
        <v>878.2</v>
      </c>
    </row>
    <row r="437" spans="1:9" s="3" customFormat="1" ht="31.5">
      <c r="A437" s="50" t="s">
        <v>281</v>
      </c>
      <c r="B437" s="19" t="s">
        <v>37</v>
      </c>
      <c r="C437" s="19" t="s">
        <v>11</v>
      </c>
      <c r="D437" s="19" t="s">
        <v>177</v>
      </c>
      <c r="E437" s="19"/>
      <c r="F437" s="14" t="e">
        <f>#REF!</f>
        <v>#REF!</v>
      </c>
      <c r="G437" s="15">
        <f>G438</f>
        <v>4562.4</v>
      </c>
      <c r="H437" s="15">
        <f>H438</f>
        <v>2468</v>
      </c>
      <c r="I437" s="15">
        <f>I438</f>
        <v>2468</v>
      </c>
    </row>
    <row r="438" spans="1:9" s="3" customFormat="1" ht="47.25">
      <c r="A438" s="66" t="s">
        <v>93</v>
      </c>
      <c r="B438" s="19" t="s">
        <v>37</v>
      </c>
      <c r="C438" s="19" t="s">
        <v>11</v>
      </c>
      <c r="D438" s="19" t="s">
        <v>177</v>
      </c>
      <c r="E438" s="19" t="s">
        <v>94</v>
      </c>
      <c r="F438" s="14"/>
      <c r="G438" s="15">
        <f>2468+294.4+1800</f>
        <v>4562.4</v>
      </c>
      <c r="H438" s="15">
        <v>2468</v>
      </c>
      <c r="I438" s="15">
        <v>2468</v>
      </c>
    </row>
    <row r="439" spans="1:9" s="3" customFormat="1" ht="63">
      <c r="A439" s="65" t="s">
        <v>282</v>
      </c>
      <c r="B439" s="19" t="s">
        <v>37</v>
      </c>
      <c r="C439" s="19" t="s">
        <v>11</v>
      </c>
      <c r="D439" s="19" t="s">
        <v>178</v>
      </c>
      <c r="E439" s="19"/>
      <c r="F439" s="14">
        <v>2455</v>
      </c>
      <c r="G439" s="15">
        <f>G440</f>
        <v>1843</v>
      </c>
      <c r="H439" s="15">
        <f>H440</f>
        <v>1293</v>
      </c>
      <c r="I439" s="15">
        <f>I440</f>
        <v>1293</v>
      </c>
    </row>
    <row r="440" spans="1:9" s="3" customFormat="1" ht="47.25">
      <c r="A440" s="32" t="s">
        <v>215</v>
      </c>
      <c r="B440" s="19" t="s">
        <v>37</v>
      </c>
      <c r="C440" s="19" t="s">
        <v>11</v>
      </c>
      <c r="D440" s="19" t="s">
        <v>178</v>
      </c>
      <c r="E440" s="19" t="s">
        <v>216</v>
      </c>
      <c r="F440" s="14" t="e">
        <f>#REF!</f>
        <v>#REF!</v>
      </c>
      <c r="G440" s="15">
        <f>1293+550</f>
        <v>1843</v>
      </c>
      <c r="H440" s="15">
        <v>1293</v>
      </c>
      <c r="I440" s="15">
        <v>1293</v>
      </c>
    </row>
    <row r="441" spans="1:9" s="55" customFormat="1" ht="31.5">
      <c r="A441" s="42" t="s">
        <v>240</v>
      </c>
      <c r="B441" s="27" t="s">
        <v>37</v>
      </c>
      <c r="C441" s="27" t="s">
        <v>24</v>
      </c>
      <c r="D441" s="27"/>
      <c r="E441" s="27"/>
      <c r="F441" s="28"/>
      <c r="G441" s="29">
        <f>G447+G442</f>
        <v>1628.738</v>
      </c>
      <c r="H441" s="29">
        <f>H447+H442</f>
        <v>1540</v>
      </c>
      <c r="I441" s="29">
        <f>I447+I442</f>
        <v>1550</v>
      </c>
    </row>
    <row r="442" spans="1:9" s="55" customFormat="1" ht="78.75">
      <c r="A442" s="37" t="s">
        <v>305</v>
      </c>
      <c r="B442" s="10" t="s">
        <v>37</v>
      </c>
      <c r="C442" s="10" t="s">
        <v>24</v>
      </c>
      <c r="D442" s="19" t="s">
        <v>118</v>
      </c>
      <c r="E442" s="19"/>
      <c r="F442" s="28"/>
      <c r="G442" s="26">
        <f aca="true" t="shared" si="27" ref="G442:I445">G443</f>
        <v>15</v>
      </c>
      <c r="H442" s="26">
        <f t="shared" si="27"/>
        <v>40</v>
      </c>
      <c r="I442" s="26">
        <f t="shared" si="27"/>
        <v>50</v>
      </c>
    </row>
    <row r="443" spans="1:9" s="55" customFormat="1" ht="78.75">
      <c r="A443" s="38" t="s">
        <v>330</v>
      </c>
      <c r="B443" s="10" t="s">
        <v>37</v>
      </c>
      <c r="C443" s="10" t="s">
        <v>24</v>
      </c>
      <c r="D443" s="19" t="s">
        <v>327</v>
      </c>
      <c r="E443" s="19"/>
      <c r="F443" s="28"/>
      <c r="G443" s="26">
        <f t="shared" si="27"/>
        <v>15</v>
      </c>
      <c r="H443" s="26">
        <f t="shared" si="27"/>
        <v>40</v>
      </c>
      <c r="I443" s="26">
        <f t="shared" si="27"/>
        <v>50</v>
      </c>
    </row>
    <row r="444" spans="1:9" s="55" customFormat="1" ht="78.75">
      <c r="A444" s="38" t="s">
        <v>331</v>
      </c>
      <c r="B444" s="10" t="s">
        <v>37</v>
      </c>
      <c r="C444" s="10" t="s">
        <v>24</v>
      </c>
      <c r="D444" s="19" t="s">
        <v>328</v>
      </c>
      <c r="E444" s="19"/>
      <c r="F444" s="28"/>
      <c r="G444" s="26">
        <f t="shared" si="27"/>
        <v>15</v>
      </c>
      <c r="H444" s="26">
        <f t="shared" si="27"/>
        <v>40</v>
      </c>
      <c r="I444" s="26">
        <f t="shared" si="27"/>
        <v>50</v>
      </c>
    </row>
    <row r="445" spans="1:9" s="55" customFormat="1" ht="31.5">
      <c r="A445" s="92" t="s">
        <v>76</v>
      </c>
      <c r="B445" s="10" t="s">
        <v>37</v>
      </c>
      <c r="C445" s="10" t="s">
        <v>24</v>
      </c>
      <c r="D445" s="19" t="s">
        <v>329</v>
      </c>
      <c r="E445" s="19"/>
      <c r="F445" s="28"/>
      <c r="G445" s="26">
        <f t="shared" si="27"/>
        <v>15</v>
      </c>
      <c r="H445" s="26">
        <f t="shared" si="27"/>
        <v>40</v>
      </c>
      <c r="I445" s="26">
        <f t="shared" si="27"/>
        <v>50</v>
      </c>
    </row>
    <row r="446" spans="1:9" s="55" customFormat="1" ht="47.25">
      <c r="A446" s="32" t="s">
        <v>72</v>
      </c>
      <c r="B446" s="10" t="s">
        <v>37</v>
      </c>
      <c r="C446" s="10" t="s">
        <v>24</v>
      </c>
      <c r="D446" s="19" t="s">
        <v>329</v>
      </c>
      <c r="E446" s="19" t="s">
        <v>71</v>
      </c>
      <c r="F446" s="28"/>
      <c r="G446" s="26">
        <v>15</v>
      </c>
      <c r="H446" s="26">
        <v>40</v>
      </c>
      <c r="I446" s="26">
        <v>50</v>
      </c>
    </row>
    <row r="447" spans="1:9" s="3" customFormat="1" ht="31.5">
      <c r="A447" s="51" t="s">
        <v>279</v>
      </c>
      <c r="B447" s="24" t="s">
        <v>37</v>
      </c>
      <c r="C447" s="24" t="s">
        <v>24</v>
      </c>
      <c r="D447" s="24" t="s">
        <v>173</v>
      </c>
      <c r="E447" s="24"/>
      <c r="F447" s="14"/>
      <c r="G447" s="15">
        <f>G448+G449+G450+G451</f>
        <v>1613.738</v>
      </c>
      <c r="H447" s="15">
        <f>H448+H449+H450+H451</f>
        <v>1500</v>
      </c>
      <c r="I447" s="15">
        <f>I448+I449+I450+I451</f>
        <v>1500</v>
      </c>
    </row>
    <row r="448" spans="1:9" s="3" customFormat="1" ht="31.5">
      <c r="A448" s="40" t="s">
        <v>142</v>
      </c>
      <c r="B448" s="24" t="s">
        <v>37</v>
      </c>
      <c r="C448" s="24" t="s">
        <v>24</v>
      </c>
      <c r="D448" s="24" t="s">
        <v>173</v>
      </c>
      <c r="E448" s="24" t="s">
        <v>66</v>
      </c>
      <c r="F448" s="14"/>
      <c r="G448" s="15">
        <f>645+113.738+130+30</f>
        <v>918.738</v>
      </c>
      <c r="H448" s="15">
        <v>645</v>
      </c>
      <c r="I448" s="15">
        <v>645</v>
      </c>
    </row>
    <row r="449" spans="1:9" s="3" customFormat="1" ht="45.75" customHeight="1" hidden="1">
      <c r="A449" s="40" t="s">
        <v>68</v>
      </c>
      <c r="B449" s="24" t="s">
        <v>37</v>
      </c>
      <c r="C449" s="24" t="s">
        <v>9</v>
      </c>
      <c r="D449" s="24" t="s">
        <v>173</v>
      </c>
      <c r="E449" s="24" t="s">
        <v>70</v>
      </c>
      <c r="F449" s="14"/>
      <c r="G449" s="15"/>
      <c r="H449" s="15"/>
      <c r="I449" s="15"/>
    </row>
    <row r="450" spans="1:9" s="3" customFormat="1" ht="63.75" customHeight="1">
      <c r="A450" s="40" t="s">
        <v>144</v>
      </c>
      <c r="B450" s="24" t="s">
        <v>37</v>
      </c>
      <c r="C450" s="24" t="s">
        <v>24</v>
      </c>
      <c r="D450" s="24" t="s">
        <v>173</v>
      </c>
      <c r="E450" s="24" t="s">
        <v>143</v>
      </c>
      <c r="F450" s="14"/>
      <c r="G450" s="15">
        <v>195</v>
      </c>
      <c r="H450" s="15">
        <v>195</v>
      </c>
      <c r="I450" s="15">
        <v>195</v>
      </c>
    </row>
    <row r="451" spans="1:9" s="3" customFormat="1" ht="47.25">
      <c r="A451" s="32" t="s">
        <v>72</v>
      </c>
      <c r="B451" s="24" t="s">
        <v>37</v>
      </c>
      <c r="C451" s="24" t="s">
        <v>24</v>
      </c>
      <c r="D451" s="24" t="s">
        <v>173</v>
      </c>
      <c r="E451" s="24" t="s">
        <v>71</v>
      </c>
      <c r="F451" s="14"/>
      <c r="G451" s="15">
        <f>660-130-30</f>
        <v>500</v>
      </c>
      <c r="H451" s="15">
        <v>660</v>
      </c>
      <c r="I451" s="15">
        <v>660</v>
      </c>
    </row>
    <row r="452" spans="1:9" s="55" customFormat="1" ht="15.75">
      <c r="A452" s="37" t="s">
        <v>36</v>
      </c>
      <c r="B452" s="13" t="s">
        <v>12</v>
      </c>
      <c r="C452" s="13"/>
      <c r="D452" s="13"/>
      <c r="E452" s="13"/>
      <c r="F452" s="11" t="e">
        <f>F453+#REF!+#REF!</f>
        <v>#REF!</v>
      </c>
      <c r="G452" s="12">
        <f aca="true" t="shared" si="28" ref="G452:I454">G453</f>
        <v>250</v>
      </c>
      <c r="H452" s="12">
        <f t="shared" si="28"/>
        <v>250</v>
      </c>
      <c r="I452" s="12">
        <f t="shared" si="28"/>
        <v>250</v>
      </c>
    </row>
    <row r="453" spans="1:9" s="55" customFormat="1" ht="19.5" customHeight="1">
      <c r="A453" s="37" t="s">
        <v>36</v>
      </c>
      <c r="B453" s="13" t="s">
        <v>12</v>
      </c>
      <c r="C453" s="13" t="s">
        <v>6</v>
      </c>
      <c r="D453" s="13"/>
      <c r="E453" s="13"/>
      <c r="F453" s="11" t="e">
        <f>F454+#REF!</f>
        <v>#REF!</v>
      </c>
      <c r="G453" s="12">
        <f t="shared" si="28"/>
        <v>250</v>
      </c>
      <c r="H453" s="12">
        <f t="shared" si="28"/>
        <v>250</v>
      </c>
      <c r="I453" s="12">
        <f t="shared" si="28"/>
        <v>250</v>
      </c>
    </row>
    <row r="454" spans="1:9" s="3" customFormat="1" ht="47.25">
      <c r="A454" s="80" t="s">
        <v>284</v>
      </c>
      <c r="B454" s="19" t="s">
        <v>12</v>
      </c>
      <c r="C454" s="19" t="s">
        <v>6</v>
      </c>
      <c r="D454" s="19" t="s">
        <v>179</v>
      </c>
      <c r="E454" s="19"/>
      <c r="F454" s="14" t="e">
        <f>#REF!</f>
        <v>#REF!</v>
      </c>
      <c r="G454" s="15">
        <f t="shared" si="28"/>
        <v>250</v>
      </c>
      <c r="H454" s="15">
        <f t="shared" si="28"/>
        <v>250</v>
      </c>
      <c r="I454" s="15">
        <f t="shared" si="28"/>
        <v>250</v>
      </c>
    </row>
    <row r="455" spans="1:9" s="3" customFormat="1" ht="31.5">
      <c r="A455" s="61" t="s">
        <v>95</v>
      </c>
      <c r="B455" s="19" t="s">
        <v>12</v>
      </c>
      <c r="C455" s="19" t="s">
        <v>6</v>
      </c>
      <c r="D455" s="19" t="s">
        <v>180</v>
      </c>
      <c r="E455" s="19"/>
      <c r="F455" s="14" t="e">
        <f>#REF!</f>
        <v>#REF!</v>
      </c>
      <c r="G455" s="15">
        <f>G458+G456+G459+G457</f>
        <v>250</v>
      </c>
      <c r="H455" s="15">
        <f>H458+H456+H459+H457</f>
        <v>250</v>
      </c>
      <c r="I455" s="15">
        <f>I458+I456+I459+I457</f>
        <v>250</v>
      </c>
    </row>
    <row r="456" spans="1:9" s="3" customFormat="1" ht="63">
      <c r="A456" s="40" t="s">
        <v>206</v>
      </c>
      <c r="B456" s="19" t="s">
        <v>12</v>
      </c>
      <c r="C456" s="19" t="s">
        <v>6</v>
      </c>
      <c r="D456" s="19" t="s">
        <v>180</v>
      </c>
      <c r="E456" s="19" t="s">
        <v>205</v>
      </c>
      <c r="F456" s="14"/>
      <c r="G456" s="15">
        <f>140-50+9</f>
        <v>99</v>
      </c>
      <c r="H456" s="15">
        <v>140</v>
      </c>
      <c r="I456" s="15">
        <v>140</v>
      </c>
    </row>
    <row r="457" spans="1:9" s="3" customFormat="1" ht="51.75" customHeight="1" hidden="1">
      <c r="A457" s="40" t="s">
        <v>68</v>
      </c>
      <c r="B457" s="19" t="s">
        <v>12</v>
      </c>
      <c r="C457" s="19" t="s">
        <v>6</v>
      </c>
      <c r="D457" s="19" t="s">
        <v>180</v>
      </c>
      <c r="E457" s="19" t="s">
        <v>70</v>
      </c>
      <c r="F457" s="14"/>
      <c r="G457" s="15"/>
      <c r="H457" s="15"/>
      <c r="I457" s="15"/>
    </row>
    <row r="458" spans="1:9" s="3" customFormat="1" ht="47.25">
      <c r="A458" s="64" t="s">
        <v>72</v>
      </c>
      <c r="B458" s="19" t="s">
        <v>12</v>
      </c>
      <c r="C458" s="19" t="s">
        <v>6</v>
      </c>
      <c r="D458" s="19" t="s">
        <v>180</v>
      </c>
      <c r="E458" s="19" t="s">
        <v>71</v>
      </c>
      <c r="F458" s="14" t="e">
        <f>#REF!</f>
        <v>#REF!</v>
      </c>
      <c r="G458" s="15">
        <f>110-9</f>
        <v>101</v>
      </c>
      <c r="H458" s="15">
        <v>110</v>
      </c>
      <c r="I458" s="15">
        <v>110</v>
      </c>
    </row>
    <row r="459" spans="1:9" s="3" customFormat="1" ht="15.75">
      <c r="A459" s="75" t="s">
        <v>220</v>
      </c>
      <c r="B459" s="19" t="s">
        <v>12</v>
      </c>
      <c r="C459" s="19" t="s">
        <v>6</v>
      </c>
      <c r="D459" s="19" t="s">
        <v>180</v>
      </c>
      <c r="E459" s="10" t="s">
        <v>219</v>
      </c>
      <c r="F459" s="14"/>
      <c r="G459" s="15">
        <f>50</f>
        <v>50</v>
      </c>
      <c r="H459" s="15"/>
      <c r="I459" s="15"/>
    </row>
    <row r="460" spans="1:9" s="55" customFormat="1" ht="15.75">
      <c r="A460" s="42" t="s">
        <v>55</v>
      </c>
      <c r="B460" s="27" t="s">
        <v>14</v>
      </c>
      <c r="C460" s="27"/>
      <c r="D460" s="27"/>
      <c r="E460" s="27"/>
      <c r="F460" s="28"/>
      <c r="G460" s="29">
        <f aca="true" t="shared" si="29" ref="G460:I463">G461</f>
        <v>1598.7</v>
      </c>
      <c r="H460" s="29">
        <f t="shared" si="29"/>
        <v>300</v>
      </c>
      <c r="I460" s="29">
        <f t="shared" si="29"/>
        <v>300</v>
      </c>
    </row>
    <row r="461" spans="1:9" s="3" customFormat="1" ht="15.75">
      <c r="A461" s="42" t="s">
        <v>35</v>
      </c>
      <c r="B461" s="27" t="s">
        <v>14</v>
      </c>
      <c r="C461" s="27" t="s">
        <v>7</v>
      </c>
      <c r="D461" s="27"/>
      <c r="E461" s="27"/>
      <c r="F461" s="28"/>
      <c r="G461" s="29">
        <f t="shared" si="29"/>
        <v>1598.7</v>
      </c>
      <c r="H461" s="29">
        <f t="shared" si="29"/>
        <v>300</v>
      </c>
      <c r="I461" s="29">
        <f t="shared" si="29"/>
        <v>300</v>
      </c>
    </row>
    <row r="462" spans="1:9" s="56" customFormat="1" ht="31.5">
      <c r="A462" s="64" t="s">
        <v>74</v>
      </c>
      <c r="B462" s="19" t="s">
        <v>14</v>
      </c>
      <c r="C462" s="19" t="s">
        <v>7</v>
      </c>
      <c r="D462" s="19" t="s">
        <v>116</v>
      </c>
      <c r="E462" s="19"/>
      <c r="F462" s="25"/>
      <c r="G462" s="26">
        <f>G463+G465</f>
        <v>1598.7</v>
      </c>
      <c r="H462" s="26">
        <f>H463+H465</f>
        <v>300</v>
      </c>
      <c r="I462" s="26">
        <f>I463+I465</f>
        <v>300</v>
      </c>
    </row>
    <row r="463" spans="1:9" s="3" customFormat="1" ht="31.5">
      <c r="A463" s="66" t="s">
        <v>192</v>
      </c>
      <c r="B463" s="19" t="s">
        <v>14</v>
      </c>
      <c r="C463" s="19" t="s">
        <v>7</v>
      </c>
      <c r="D463" s="19" t="s">
        <v>193</v>
      </c>
      <c r="E463" s="19"/>
      <c r="F463" s="14"/>
      <c r="G463" s="15">
        <f t="shared" si="29"/>
        <v>300</v>
      </c>
      <c r="H463" s="15">
        <f t="shared" si="29"/>
        <v>300</v>
      </c>
      <c r="I463" s="15">
        <f t="shared" si="29"/>
        <v>300</v>
      </c>
    </row>
    <row r="464" spans="1:9" s="3" customFormat="1" ht="63">
      <c r="A464" s="50" t="s">
        <v>59</v>
      </c>
      <c r="B464" s="19" t="s">
        <v>14</v>
      </c>
      <c r="C464" s="19" t="s">
        <v>7</v>
      </c>
      <c r="D464" s="19" t="s">
        <v>193</v>
      </c>
      <c r="E464" s="19" t="s">
        <v>31</v>
      </c>
      <c r="F464" s="14">
        <v>375</v>
      </c>
      <c r="G464" s="15">
        <v>300</v>
      </c>
      <c r="H464" s="15">
        <v>300</v>
      </c>
      <c r="I464" s="15">
        <v>300</v>
      </c>
    </row>
    <row r="465" spans="1:9" s="3" customFormat="1" ht="174.75" customHeight="1">
      <c r="A465" s="64" t="s">
        <v>283</v>
      </c>
      <c r="B465" s="19" t="s">
        <v>14</v>
      </c>
      <c r="C465" s="19" t="s">
        <v>7</v>
      </c>
      <c r="D465" s="19" t="s">
        <v>310</v>
      </c>
      <c r="E465" s="19"/>
      <c r="F465" s="14"/>
      <c r="G465" s="15">
        <f>G466</f>
        <v>1298.7</v>
      </c>
      <c r="H465" s="15">
        <f>H466</f>
        <v>0</v>
      </c>
      <c r="I465" s="15">
        <f>I466</f>
        <v>0</v>
      </c>
    </row>
    <row r="466" spans="1:9" s="3" customFormat="1" ht="31.5">
      <c r="A466" s="50" t="s">
        <v>353</v>
      </c>
      <c r="B466" s="19" t="s">
        <v>14</v>
      </c>
      <c r="C466" s="19" t="s">
        <v>7</v>
      </c>
      <c r="D466" s="19" t="s">
        <v>310</v>
      </c>
      <c r="E466" s="19" t="s">
        <v>352</v>
      </c>
      <c r="F466" s="14"/>
      <c r="G466" s="15">
        <v>1298.7</v>
      </c>
      <c r="H466" s="15"/>
      <c r="I466" s="15"/>
    </row>
    <row r="467" spans="1:9" s="3" customFormat="1" ht="15.75">
      <c r="A467" s="38"/>
      <c r="B467" s="10"/>
      <c r="C467" s="10"/>
      <c r="D467" s="10"/>
      <c r="E467" s="10"/>
      <c r="F467" s="14"/>
      <c r="G467" s="15"/>
      <c r="H467" s="15"/>
      <c r="I467" s="15"/>
    </row>
    <row r="468" spans="1:9" s="3" customFormat="1" ht="15.75">
      <c r="A468" s="34" t="s">
        <v>40</v>
      </c>
      <c r="B468" s="22"/>
      <c r="C468" s="22"/>
      <c r="D468" s="22"/>
      <c r="E468" s="22"/>
      <c r="F468" s="11" t="e">
        <f>F452+F412+#REF!+F370+F221+F216+F184+#REF!+#REF!+F12</f>
        <v>#REF!</v>
      </c>
      <c r="G468" s="12">
        <f>G12+G154+G161+G184+G216+G221+G370+G412+G452+G460</f>
        <v>283267.65</v>
      </c>
      <c r="H468" s="12">
        <f>H12+H154+H161+H184+H216+H221+H370+H412+H452+H460</f>
        <v>264741.1</v>
      </c>
      <c r="I468" s="12">
        <f>I12+I154+I161+I184+I216+I221+I370+I412+I452+I460</f>
        <v>266514.7</v>
      </c>
    </row>
    <row r="469" spans="1:7" s="3" customFormat="1" ht="15.75">
      <c r="A469" s="43"/>
      <c r="B469" s="46"/>
      <c r="C469" s="46"/>
      <c r="D469" s="46"/>
      <c r="E469" s="46"/>
      <c r="F469" s="46"/>
      <c r="G469" s="46"/>
    </row>
    <row r="470" spans="1:9" s="3" customFormat="1" ht="15.75">
      <c r="A470" s="35"/>
      <c r="G470" s="31"/>
      <c r="H470" s="57"/>
      <c r="I470" s="57"/>
    </row>
    <row r="471" s="3" customFormat="1" ht="15.75">
      <c r="A471" s="35"/>
    </row>
    <row r="472" spans="1:7" s="3" customFormat="1" ht="15.75">
      <c r="A472" s="35"/>
      <c r="E472" s="101"/>
      <c r="F472" s="101"/>
      <c r="G472" s="4"/>
    </row>
  </sheetData>
  <sheetProtection/>
  <mergeCells count="7">
    <mergeCell ref="A1:I1"/>
    <mergeCell ref="E2:G2"/>
    <mergeCell ref="A3:G3"/>
    <mergeCell ref="E472:F472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3" r:id="rId1"/>
  <headerFooter alignWithMargins="0">
    <oddFooter>&amp;CСтраница &amp;P</oddFooter>
  </headerFooter>
  <rowBreaks count="2" manualBreakCount="2">
    <brk id="33" max="8" man="1"/>
    <brk id="4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2019-07-17T09:08:30Z</cp:lastPrinted>
  <dcterms:created xsi:type="dcterms:W3CDTF">2007-09-03T07:30:33Z</dcterms:created>
  <dcterms:modified xsi:type="dcterms:W3CDTF">2019-10-28T09:04:41Z</dcterms:modified>
  <cp:category/>
  <cp:version/>
  <cp:contentType/>
  <cp:contentStatus/>
</cp:coreProperties>
</file>