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19" sheetId="1" r:id="rId1"/>
    <sheet name="2020-2021" sheetId="2" r:id="rId2"/>
  </sheets>
  <definedNames>
    <definedName name="_xlnm.Print_Area" localSheetId="0">'2019'!$A$1:$H$490</definedName>
    <definedName name="_xlnm.Print_Area" localSheetId="1">'2020-2021'!$A$1:$I$352</definedName>
  </definedNames>
  <calcPr fullCalcOnLoad="1"/>
</workbook>
</file>

<file path=xl/sharedStrings.xml><?xml version="1.0" encoding="utf-8"?>
<sst xmlns="http://schemas.openxmlformats.org/spreadsheetml/2006/main" count="4381" uniqueCount="413">
  <si>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</si>
  <si>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</si>
  <si>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</si>
  <si>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</si>
  <si>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</si>
  <si>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</si>
  <si>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</si>
  <si>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</si>
  <si>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</si>
  <si>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</si>
  <si>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</si>
  <si>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</si>
  <si>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</si>
  <si>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</si>
  <si>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</si>
  <si>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</si>
  <si>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</si>
  <si>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</si>
  <si>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</si>
  <si>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</si>
  <si>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</si>
  <si>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</si>
  <si>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</si>
  <si>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</si>
  <si>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</si>
  <si>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</si>
  <si>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</si>
  <si>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</si>
  <si>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</si>
  <si>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</si>
  <si>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</si>
  <si>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</si>
  <si>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</si>
  <si>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</si>
  <si>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</si>
  <si>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</si>
  <si>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</si>
  <si>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</si>
  <si>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</si>
  <si>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</si>
  <si>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</si>
  <si>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</si>
  <si>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</si>
  <si>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</si>
  <si>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</si>
  <si>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</si>
  <si>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</si>
  <si>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</si>
  <si>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</si>
  <si>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</si>
  <si>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</si>
  <si>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</si>
  <si>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</si>
  <si>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</si>
  <si>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</si>
  <si>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</si>
  <si>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</si>
  <si>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</si>
  <si>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</si>
  <si>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</si>
  <si>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</si>
  <si>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</si>
  <si>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</si>
  <si>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</si>
  <si>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</si>
  <si>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</si>
  <si>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</si>
  <si>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</si>
  <si>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</si>
  <si>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</si>
  <si>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</si>
  <si>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</si>
  <si>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</si>
  <si>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</si>
  <si>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</si>
  <si>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</si>
  <si>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</si>
  <si>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</si>
  <si>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</si>
  <si>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</si>
  <si>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</si>
  <si>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</si>
  <si>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</si>
  <si>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</si>
  <si>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</si>
  <si>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</si>
  <si>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</si>
  <si>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</si>
  <si>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</si>
  <si>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</si>
  <si>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</si>
  <si>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</si>
  <si>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</si>
  <si>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</si>
  <si>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</si>
  <si>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</si>
  <si>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</si>
  <si>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</si>
  <si>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</si>
  <si>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</si>
  <si>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</si>
  <si>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</si>
  <si>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</si>
  <si>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</si>
  <si>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</si>
  <si>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</si>
  <si>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</si>
  <si>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</si>
  <si>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</si>
  <si>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</si>
  <si>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</si>
  <si>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</si>
  <si>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</si>
  <si>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</si>
  <si>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</si>
  <si>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</si>
  <si>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</si>
  <si>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</si>
  <si>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</si>
  <si>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</si>
  <si>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</si>
  <si>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</si>
  <si>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</si>
  <si>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</si>
  <si>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</si>
  <si>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</si>
  <si>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</si>
  <si>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</si>
  <si>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</si>
  <si>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</si>
  <si>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</si>
  <si>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</si>
  <si>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</si>
  <si>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</si>
  <si>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</si>
  <si>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</si>
  <si>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</si>
  <si>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</si>
  <si>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</si>
  <si>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</si>
  <si>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</si>
  <si>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</si>
  <si>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</si>
  <si>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</si>
  <si>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</si>
  <si>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</si>
  <si>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</si>
  <si>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</si>
  <si>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</si>
  <si>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</si>
  <si>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</si>
  <si>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</si>
  <si>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</si>
  <si>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</si>
  <si>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</si>
  <si>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</si>
  <si>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</si>
  <si>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</si>
  <si>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</si>
  <si>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</si>
  <si>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</si>
  <si>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</si>
  <si>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</si>
  <si>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</si>
  <si>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</si>
  <si>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</si>
  <si>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</si>
  <si>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</si>
  <si>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</si>
  <si>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</si>
  <si>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</si>
  <si>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</si>
  <si>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</si>
  <si>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</si>
  <si>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</si>
  <si>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</si>
  <si>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</si>
  <si>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</si>
  <si>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</si>
  <si>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</si>
  <si>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</si>
  <si>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</si>
  <si>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</si>
  <si>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</si>
  <si>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</si>
  <si>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</si>
  <si>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</si>
  <si>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</si>
  <si>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</si>
  <si>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</si>
  <si>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</si>
  <si>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</si>
  <si>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</si>
  <si>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</si>
  <si>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</si>
  <si>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</si>
  <si>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</si>
  <si>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</si>
  <si>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</si>
  <si>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</si>
  <si>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</si>
  <si>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</si>
  <si>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</si>
  <si>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</si>
  <si>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</si>
  <si>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</si>
  <si>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</si>
  <si>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</si>
  <si>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</si>
  <si>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</si>
  <si>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</si>
  <si>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</si>
  <si>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</si>
  <si>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</si>
  <si>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</si>
  <si>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</si>
  <si>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</si>
  <si>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</si>
  <si>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</si>
  <si>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</si>
  <si>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</si>
  <si>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</si>
  <si>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</si>
  <si>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</si>
  <si>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</si>
  <si>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</si>
  <si>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</si>
  <si>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</si>
  <si>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</si>
  <si>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</si>
  <si>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</si>
  <si>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</si>
  <si>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</si>
  <si>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</si>
  <si>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</si>
  <si>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</si>
  <si>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</si>
  <si>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</si>
  <si>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</si>
  <si>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</si>
  <si>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6000071170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</si>
  <si>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</si>
  <si>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</si>
  <si>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</si>
  <si>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</si>
  <si>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</si>
  <si>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</si>
  <si>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</si>
  <si>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</si>
  <si>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</si>
  <si>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</si>
  <si>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</si>
  <si>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</si>
  <si>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</si>
  <si>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0810160140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</si>
  <si>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</si>
  <si>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</si>
  <si>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2019 до изменения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</si>
  <si>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</si>
  <si>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</si>
  <si>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</si>
  <si>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</si>
  <si>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</si>
  <si>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</si>
  <si>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</si>
  <si>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</si>
  <si>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</si>
  <si>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</si>
  <si>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</si>
  <si>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</si>
  <si>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</si>
  <si>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</si>
  <si>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</si>
  <si>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</si>
  <si>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</si>
  <si>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</si>
  <si>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</si>
  <si>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</si>
  <si>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</si>
  <si>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</si>
  <si>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</si>
  <si>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</si>
  <si>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</si>
  <si>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</si>
  <si>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</si>
  <si>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</si>
  <si>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</si>
  <si>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</si>
  <si>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</si>
  <si>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</si>
  <si>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</si>
  <si>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</si>
  <si>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</si>
  <si>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</si>
  <si>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</si>
  <si>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</si>
  <si>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</si>
  <si>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</si>
  <si>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</si>
  <si>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</si>
  <si>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</si>
  <si>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</si>
  <si>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</si>
  <si>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</si>
  <si>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</si>
  <si>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</si>
  <si>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</si>
  <si>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</si>
  <si>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</si>
  <si>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</si>
  <si>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</si>
  <si>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</si>
  <si>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</si>
  <si>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</si>
  <si>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</si>
  <si>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</si>
  <si>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</si>
  <si>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</si>
  <si>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</si>
  <si>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</si>
  <si>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</si>
  <si>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</si>
  <si>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</si>
  <si>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</si>
  <si>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</si>
  <si>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</si>
  <si>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</si>
  <si>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</si>
  <si>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</si>
  <si>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</si>
  <si>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</si>
  <si>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</si>
  <si>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</si>
  <si>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</si>
  <si>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t>бюджета Даниловского муниципального района на 2019 год</t>
  </si>
  <si>
    <t>2019 с учетом  изменений</t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</si>
  <si>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</si>
  <si>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бюджета Даниловского муниципального района на 2020 и 2021 годы</t>
  </si>
  <si>
    <t xml:space="preserve">2020 год </t>
  </si>
  <si>
    <t>2021 год</t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</si>
  <si>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</si>
  <si>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</si>
  <si>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</si>
  <si>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</si>
  <si>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</si>
  <si>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</si>
  <si>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</si>
  <si>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</si>
  <si>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</si>
  <si>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</si>
  <si>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</si>
  <si>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</si>
  <si>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</si>
  <si>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</si>
  <si>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</si>
  <si>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</si>
  <si>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</si>
  <si>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</si>
  <si>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</si>
  <si>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</si>
  <si>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</si>
  <si>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</si>
  <si>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</si>
  <si>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</si>
  <si>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</si>
  <si>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</si>
  <si>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</si>
  <si>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</si>
  <si>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</si>
  <si>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</si>
  <si>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</si>
  <si>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</si>
  <si>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</si>
  <si>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</si>
  <si>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</si>
  <si>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</si>
  <si>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</si>
  <si>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</si>
  <si>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</si>
  <si>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</si>
  <si>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</si>
  <si>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</si>
  <si>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 от 24.12.2018 г.</t>
  </si>
  <si>
    <t xml:space="preserve">№ 12/3 </t>
  </si>
  <si>
    <r>
      <t>"Приложение  10</t>
    </r>
    <r>
      <rPr>
        <sz val="11"/>
        <rFont val="Times New Roman"/>
        <family val="1"/>
      </rPr>
      <t xml:space="preserve">  </t>
    </r>
  </si>
  <si>
    <t>414</t>
  </si>
  <si>
    <t>Бюджетные инвестиции в объекты капитального строительства государственной (муниципальной) собственности</t>
  </si>
  <si>
    <t>99000S1740</t>
  </si>
  <si>
    <t>Компенсация части расходов на приобретение и установку комплекта оборудования приема телевизионного спутникового вещания</t>
  </si>
  <si>
    <t>9900010260</t>
  </si>
  <si>
    <t>Основное мероприятие "Создание условий для сохранения, возрождения и развития народных художественных промыслов и ремесел на территории Даниловского муниципального района"</t>
  </si>
  <si>
    <t>Расходы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</si>
  <si>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Расходы на развитие и укрепление материально-технической базы муниципальных учреждений культуры</t>
  </si>
  <si>
    <t>0810120050</t>
  </si>
  <si>
    <t xml:space="preserve">Пособия, компенсации и иные социальные выплаты гражданам, кроме публичных нормативных обязательств </t>
  </si>
  <si>
    <t>08101L4670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</si>
  <si>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</si>
  <si>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Блакоустройство</t>
  </si>
  <si>
    <t>Резервный фонд Администрации Волгоградской области</t>
  </si>
  <si>
    <t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</si>
  <si>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622</t>
  </si>
  <si>
    <t>Субсидии автономным учреждениям на иные цели</t>
  </si>
  <si>
    <t>9900071160</t>
  </si>
  <si>
    <t>Иные межбюджетные трансферты поселениям Даниловского муниципального района Волгоградской области  для решения вопросов местного значения в связи с реализацией местных инициатив населения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</si>
  <si>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</si>
  <si>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</si>
  <si>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08101L5190</t>
  </si>
  <si>
    <t>Расходы на комплектование книжных фондов муниципальных общедоступных библиотек</t>
  </si>
  <si>
    <t>61000S0980</t>
  </si>
  <si>
    <t>61000S1700</t>
  </si>
  <si>
    <t>Расходы на проведение мероприятий по реализации проекта Волгоградской области "Повышение финансовой грамотности населения Волгоградской области"</t>
  </si>
  <si>
    <t>1.9. Приложение 10 изложить в следующей редакции:</t>
  </si>
  <si>
    <t xml:space="preserve">от 28.10.2019 г. №2/2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</si>
</sst>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179" fontId="4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3"/>
  <sheetViews>
    <sheetView showZeros="0" tabSelected="1" view="pageBreakPreview" zoomScaleSheetLayoutView="100" zoomScalePageLayoutView="0" workbookViewId="0" topLeftCell="A470">
      <selection activeCell="H281" sqref="H281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ht="18.75">
      <c r="A1" s="165" t="s">
        <v>411</v>
      </c>
    </row>
    <row r="2" spans="1:10" s="1" customFormat="1" ht="15">
      <c r="A2" s="133"/>
      <c r="B2" s="5"/>
      <c r="C2" s="42"/>
      <c r="D2" s="42"/>
      <c r="E2" s="5"/>
      <c r="F2" s="5"/>
      <c r="G2" s="41" t="s">
        <v>384</v>
      </c>
      <c r="H2" s="53"/>
      <c r="I2" s="53"/>
      <c r="J2" s="97"/>
    </row>
    <row r="3" spans="1:10" s="1" customFormat="1" ht="23.25" customHeight="1">
      <c r="A3" s="169" t="s">
        <v>68</v>
      </c>
      <c r="B3" s="170"/>
      <c r="C3" s="170"/>
      <c r="D3" s="170"/>
      <c r="E3" s="170"/>
      <c r="F3" s="170"/>
      <c r="G3" s="170"/>
      <c r="H3" s="170"/>
      <c r="I3" s="54"/>
      <c r="J3" s="97"/>
    </row>
    <row r="4" spans="1:10" s="1" customFormat="1" ht="15">
      <c r="A4" s="133"/>
      <c r="B4" s="47"/>
      <c r="C4" s="16"/>
      <c r="D4" s="47"/>
      <c r="E4" s="41"/>
      <c r="F4" s="173" t="s">
        <v>412</v>
      </c>
      <c r="G4" s="174"/>
      <c r="H4" s="174"/>
      <c r="I4" s="54"/>
      <c r="J4" s="97"/>
    </row>
    <row r="5" spans="1:10" s="1" customFormat="1" ht="15">
      <c r="A5" s="133"/>
      <c r="B5" s="5"/>
      <c r="C5" s="42"/>
      <c r="D5" s="42"/>
      <c r="E5" s="42"/>
      <c r="F5" s="46"/>
      <c r="G5" s="55"/>
      <c r="H5" s="55"/>
      <c r="I5" s="2"/>
      <c r="J5" s="97"/>
    </row>
    <row r="6" spans="1:10" s="1" customFormat="1" ht="18.75">
      <c r="A6" s="171" t="s">
        <v>54</v>
      </c>
      <c r="B6" s="171"/>
      <c r="C6" s="171"/>
      <c r="D6" s="171"/>
      <c r="E6" s="171"/>
      <c r="F6" s="171"/>
      <c r="G6" s="171"/>
      <c r="H6" s="171"/>
      <c r="I6" s="54"/>
      <c r="J6" s="97"/>
    </row>
    <row r="7" spans="1:10" s="1" customFormat="1" ht="18.75" customHeight="1">
      <c r="A7" s="172" t="s">
        <v>334</v>
      </c>
      <c r="B7" s="172"/>
      <c r="C7" s="172"/>
      <c r="D7" s="172"/>
      <c r="E7" s="172"/>
      <c r="F7" s="172"/>
      <c r="G7" s="172"/>
      <c r="H7" s="172"/>
      <c r="I7" s="56"/>
      <c r="J7" s="97"/>
    </row>
    <row r="8" spans="1:10" s="1" customFormat="1" ht="15">
      <c r="A8" s="133"/>
      <c r="B8" s="5"/>
      <c r="C8" s="5"/>
      <c r="D8" s="5"/>
      <c r="E8" s="5"/>
      <c r="F8" s="5"/>
      <c r="H8" s="1" t="s">
        <v>15</v>
      </c>
      <c r="J8" s="97"/>
    </row>
    <row r="9" spans="1:10" s="5" customFormat="1" ht="68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57" t="s">
        <v>10</v>
      </c>
      <c r="H9" s="57" t="s">
        <v>335</v>
      </c>
      <c r="I9" s="87" t="s">
        <v>257</v>
      </c>
      <c r="J9" s="98"/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58">
        <v>7</v>
      </c>
      <c r="H10" s="58">
        <v>8</v>
      </c>
      <c r="I10" s="88">
        <v>9</v>
      </c>
      <c r="J10" s="98"/>
    </row>
    <row r="11" spans="1:10" s="5" customFormat="1" ht="15">
      <c r="A11" s="134"/>
      <c r="B11" s="6"/>
      <c r="C11" s="6"/>
      <c r="D11" s="6"/>
      <c r="E11" s="6"/>
      <c r="F11" s="6"/>
      <c r="G11" s="58"/>
      <c r="H11" s="58"/>
      <c r="I11" s="88"/>
      <c r="J11" s="98"/>
    </row>
    <row r="12" spans="1:10" s="16" customFormat="1" ht="28.5">
      <c r="A12" s="135" t="s">
        <v>78</v>
      </c>
      <c r="B12" s="67">
        <v>901</v>
      </c>
      <c r="C12" s="67"/>
      <c r="D12" s="67"/>
      <c r="E12" s="67"/>
      <c r="F12" s="67"/>
      <c r="G12" s="39">
        <f>H12-I12</f>
        <v>0</v>
      </c>
      <c r="H12" s="39">
        <f>H13</f>
        <v>409.5</v>
      </c>
      <c r="I12" s="89">
        <f>I13</f>
        <v>409.5</v>
      </c>
      <c r="J12" s="104"/>
    </row>
    <row r="13" spans="1:10" s="16" customFormat="1" ht="14.25">
      <c r="A13" s="122" t="s">
        <v>58</v>
      </c>
      <c r="B13" s="7" t="s">
        <v>79</v>
      </c>
      <c r="C13" s="7" t="s">
        <v>22</v>
      </c>
      <c r="D13" s="67"/>
      <c r="E13" s="67"/>
      <c r="F13" s="67"/>
      <c r="G13" s="39">
        <f aca="true" t="shared" si="0" ref="G13:G23">H13-I13</f>
        <v>0</v>
      </c>
      <c r="H13" s="39">
        <f>H14+H24</f>
        <v>409.5</v>
      </c>
      <c r="I13" s="89">
        <f>I14+I24</f>
        <v>409.5</v>
      </c>
      <c r="J13" s="104"/>
    </row>
    <row r="14" spans="1:10" s="5" customFormat="1" ht="56.25" customHeight="1">
      <c r="A14" s="135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39">
        <f t="shared" si="0"/>
        <v>0</v>
      </c>
      <c r="H14" s="59">
        <f>H15</f>
        <v>409.5</v>
      </c>
      <c r="I14" s="90">
        <f>I15</f>
        <v>409.5</v>
      </c>
      <c r="J14" s="105"/>
    </row>
    <row r="15" spans="1:10" s="5" customFormat="1" ht="18" customHeight="1">
      <c r="A15" s="45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39">
        <f t="shared" si="0"/>
        <v>0</v>
      </c>
      <c r="H15" s="38">
        <f>H16</f>
        <v>409.5</v>
      </c>
      <c r="I15" s="38">
        <f>I16</f>
        <v>409.5</v>
      </c>
      <c r="J15" s="106"/>
    </row>
    <row r="16" spans="1:10" s="5" customFormat="1" ht="17.25" customHeight="1">
      <c r="A16" s="45" t="s">
        <v>91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39">
        <f t="shared" si="0"/>
        <v>0</v>
      </c>
      <c r="H16" s="38">
        <f>H17+H18+H20+H21+H22+H19+H23</f>
        <v>409.5</v>
      </c>
      <c r="I16" s="38">
        <f>I17+I18+I20+I21+I22+I19+I23</f>
        <v>409.5</v>
      </c>
      <c r="J16" s="106"/>
    </row>
    <row r="17" spans="1:10" s="5" customFormat="1" ht="30">
      <c r="A17" s="44" t="s">
        <v>130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89</v>
      </c>
      <c r="G17" s="39">
        <f t="shared" si="0"/>
        <v>0</v>
      </c>
      <c r="H17" s="38">
        <f>316-13</f>
        <v>303</v>
      </c>
      <c r="I17" s="91">
        <v>303</v>
      </c>
      <c r="J17" s="98"/>
    </row>
    <row r="18" spans="1:10" s="5" customFormat="1" ht="45.75" customHeight="1" hidden="1">
      <c r="A18" s="44" t="s">
        <v>102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101</v>
      </c>
      <c r="G18" s="39">
        <f t="shared" si="0"/>
        <v>0</v>
      </c>
      <c r="H18" s="38"/>
      <c r="I18" s="91"/>
      <c r="J18" s="98"/>
    </row>
    <row r="19" spans="1:10" s="5" customFormat="1" ht="60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39">
        <f t="shared" si="0"/>
        <v>-0.0049999999999954525</v>
      </c>
      <c r="H19" s="38">
        <f>95.4-3.9-0.055-0.005-0.005</f>
        <v>91.435</v>
      </c>
      <c r="I19" s="91">
        <v>91.44</v>
      </c>
      <c r="J19" s="98"/>
    </row>
    <row r="20" spans="1:10" s="5" customFormat="1" ht="30.75" customHeight="1">
      <c r="A20" s="44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39">
        <f t="shared" si="0"/>
        <v>0</v>
      </c>
      <c r="H20" s="38">
        <v>15</v>
      </c>
      <c r="I20" s="91">
        <v>15</v>
      </c>
      <c r="J20" s="98"/>
    </row>
    <row r="21" spans="1:10" s="5" customFormat="1" ht="30.75" customHeight="1" hidden="1">
      <c r="A21" s="44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3" t="s">
        <v>107</v>
      </c>
      <c r="G22" s="39">
        <f t="shared" si="0"/>
        <v>0</v>
      </c>
      <c r="H22" s="38"/>
      <c r="I22" s="91"/>
      <c r="J22" s="98"/>
    </row>
    <row r="23" spans="1:10" s="5" customFormat="1" ht="15">
      <c r="A23" s="44" t="s">
        <v>230</v>
      </c>
      <c r="B23" s="8" t="s">
        <v>79</v>
      </c>
      <c r="C23" s="8" t="s">
        <v>22</v>
      </c>
      <c r="D23" s="8" t="s">
        <v>23</v>
      </c>
      <c r="E23" s="8" t="s">
        <v>135</v>
      </c>
      <c r="F23" s="64" t="s">
        <v>228</v>
      </c>
      <c r="G23" s="39">
        <f t="shared" si="0"/>
        <v>0.0050000000000000044</v>
      </c>
      <c r="H23" s="38">
        <f>0.055+0.005+0.005</f>
        <v>0.065</v>
      </c>
      <c r="I23" s="91">
        <v>0.06</v>
      </c>
      <c r="J23" s="98"/>
    </row>
    <row r="24" spans="1:10" s="5" customFormat="1" ht="15" hidden="1">
      <c r="A24" s="36" t="s">
        <v>53</v>
      </c>
      <c r="B24" s="7" t="s">
        <v>79</v>
      </c>
      <c r="C24" s="7" t="s">
        <v>22</v>
      </c>
      <c r="D24" s="7" t="s">
        <v>36</v>
      </c>
      <c r="E24" s="22"/>
      <c r="F24" s="22"/>
      <c r="G24" s="39">
        <f>H24-I24</f>
        <v>0</v>
      </c>
      <c r="H24" s="59">
        <f>H25</f>
        <v>0</v>
      </c>
      <c r="I24" s="59">
        <f>I25</f>
        <v>0</v>
      </c>
      <c r="J24" s="105"/>
    </row>
    <row r="25" spans="1:10" s="5" customFormat="1" ht="32.25" customHeight="1" hidden="1">
      <c r="A25" s="80" t="s">
        <v>92</v>
      </c>
      <c r="B25" s="8" t="s">
        <v>79</v>
      </c>
      <c r="C25" s="8" t="s">
        <v>22</v>
      </c>
      <c r="D25" s="8" t="s">
        <v>36</v>
      </c>
      <c r="E25" s="8" t="s">
        <v>140</v>
      </c>
      <c r="F25" s="22"/>
      <c r="G25" s="39">
        <f>H25-I25</f>
        <v>0</v>
      </c>
      <c r="H25" s="38">
        <f>H27</f>
        <v>0</v>
      </c>
      <c r="I25" s="38">
        <f>I27</f>
        <v>0</v>
      </c>
      <c r="J25" s="106"/>
    </row>
    <row r="26" spans="1:10" s="5" customFormat="1" ht="45" hidden="1">
      <c r="A26" s="136" t="s">
        <v>120</v>
      </c>
      <c r="B26" s="8" t="s">
        <v>79</v>
      </c>
      <c r="C26" s="8" t="s">
        <v>22</v>
      </c>
      <c r="D26" s="8" t="s">
        <v>36</v>
      </c>
      <c r="E26" s="8" t="s">
        <v>231</v>
      </c>
      <c r="F26" s="22"/>
      <c r="G26" s="39">
        <f>H26-I26</f>
        <v>0</v>
      </c>
      <c r="H26" s="38">
        <f>H27</f>
        <v>0</v>
      </c>
      <c r="I26" s="38">
        <f>I27</f>
        <v>0</v>
      </c>
      <c r="J26" s="106"/>
    </row>
    <row r="27" spans="1:10" s="19" customFormat="1" ht="32.25" customHeight="1" hidden="1">
      <c r="A27" s="44" t="s">
        <v>88</v>
      </c>
      <c r="B27" s="18" t="s">
        <v>79</v>
      </c>
      <c r="C27" s="18" t="s">
        <v>22</v>
      </c>
      <c r="D27" s="18" t="s">
        <v>36</v>
      </c>
      <c r="E27" s="18" t="s">
        <v>231</v>
      </c>
      <c r="F27" s="113">
        <v>244</v>
      </c>
      <c r="G27" s="39">
        <f>H27-I27</f>
        <v>0</v>
      </c>
      <c r="H27" s="38"/>
      <c r="I27" s="91"/>
      <c r="J27" s="106"/>
    </row>
    <row r="28" spans="1:10" s="5" customFormat="1" ht="13.5" customHeight="1">
      <c r="A28" s="44"/>
      <c r="B28" s="14"/>
      <c r="C28" s="14"/>
      <c r="D28" s="14"/>
      <c r="E28" s="14"/>
      <c r="F28" s="14"/>
      <c r="G28" s="39"/>
      <c r="H28" s="26"/>
      <c r="I28" s="92"/>
      <c r="J28" s="97"/>
    </row>
    <row r="29" spans="1:10" s="17" customFormat="1" ht="27.75" customHeight="1">
      <c r="A29" s="135" t="s">
        <v>8</v>
      </c>
      <c r="B29" s="15" t="s">
        <v>57</v>
      </c>
      <c r="C29" s="15"/>
      <c r="D29" s="15"/>
      <c r="E29" s="15"/>
      <c r="F29" s="15"/>
      <c r="G29" s="39">
        <f aca="true" t="shared" si="1" ref="G29:G36">H29-I29</f>
        <v>2470.0140000000247</v>
      </c>
      <c r="H29" s="39">
        <f>H30+H144+H151+H174+H207+H212+H354+H400+H441+H449+H457</f>
        <v>281504.65</v>
      </c>
      <c r="I29" s="39">
        <f>I30+I144+I151+I174+I207+I212+I354+I400+I441+I449+I457</f>
        <v>279034.636</v>
      </c>
      <c r="J29" s="104"/>
    </row>
    <row r="30" spans="1:10" s="5" customFormat="1" ht="15">
      <c r="A30" s="122" t="s">
        <v>58</v>
      </c>
      <c r="B30" s="7" t="s">
        <v>57</v>
      </c>
      <c r="C30" s="7" t="s">
        <v>22</v>
      </c>
      <c r="D30" s="14"/>
      <c r="E30" s="14"/>
      <c r="F30" s="14"/>
      <c r="G30" s="39">
        <f t="shared" si="1"/>
        <v>744.5439999999944</v>
      </c>
      <c r="H30" s="24">
        <f>H36+H76+H80+H69+H65+H31</f>
        <v>56426.68499999999</v>
      </c>
      <c r="I30" s="24">
        <f>I36+I76+I80+I69+I65+I31</f>
        <v>55682.140999999996</v>
      </c>
      <c r="J30" s="107"/>
    </row>
    <row r="31" spans="1:10" s="16" customFormat="1" ht="42.75">
      <c r="A31" s="75" t="s">
        <v>272</v>
      </c>
      <c r="B31" s="15" t="s">
        <v>57</v>
      </c>
      <c r="C31" s="15" t="s">
        <v>22</v>
      </c>
      <c r="D31" s="15" t="s">
        <v>27</v>
      </c>
      <c r="E31" s="15"/>
      <c r="F31" s="15"/>
      <c r="G31" s="39">
        <f t="shared" si="1"/>
        <v>0</v>
      </c>
      <c r="H31" s="24">
        <f>H32</f>
        <v>1190.2</v>
      </c>
      <c r="I31" s="24">
        <f>I32</f>
        <v>1190.2</v>
      </c>
      <c r="J31" s="107"/>
    </row>
    <row r="32" spans="1:10" s="19" customFormat="1" ht="16.5" customHeight="1">
      <c r="A32" s="45" t="s">
        <v>91</v>
      </c>
      <c r="B32" s="23" t="s">
        <v>57</v>
      </c>
      <c r="C32" s="23" t="s">
        <v>22</v>
      </c>
      <c r="D32" s="23" t="s">
        <v>27</v>
      </c>
      <c r="E32" s="14" t="s">
        <v>134</v>
      </c>
      <c r="F32" s="23"/>
      <c r="G32" s="39">
        <f t="shared" si="1"/>
        <v>0</v>
      </c>
      <c r="H32" s="27">
        <f>H33</f>
        <v>1190.2</v>
      </c>
      <c r="I32" s="27">
        <f>I33</f>
        <v>1190.2</v>
      </c>
      <c r="J32" s="101"/>
    </row>
    <row r="33" spans="1:10" s="19" customFormat="1" ht="15">
      <c r="A33" s="162" t="s">
        <v>274</v>
      </c>
      <c r="B33" s="23" t="s">
        <v>57</v>
      </c>
      <c r="C33" s="23" t="s">
        <v>22</v>
      </c>
      <c r="D33" s="23" t="s">
        <v>27</v>
      </c>
      <c r="E33" s="14" t="s">
        <v>273</v>
      </c>
      <c r="F33" s="23"/>
      <c r="G33" s="39">
        <f t="shared" si="1"/>
        <v>0</v>
      </c>
      <c r="H33" s="27">
        <f>H34+H35</f>
        <v>1190.2</v>
      </c>
      <c r="I33" s="27">
        <f>I34+I35</f>
        <v>1190.2</v>
      </c>
      <c r="J33" s="101"/>
    </row>
    <row r="34" spans="1:10" s="19" customFormat="1" ht="30">
      <c r="A34" s="44" t="s">
        <v>130</v>
      </c>
      <c r="B34" s="23" t="s">
        <v>57</v>
      </c>
      <c r="C34" s="23" t="s">
        <v>22</v>
      </c>
      <c r="D34" s="23" t="s">
        <v>27</v>
      </c>
      <c r="E34" s="14" t="s">
        <v>273</v>
      </c>
      <c r="F34" s="23" t="s">
        <v>89</v>
      </c>
      <c r="G34" s="39">
        <f t="shared" si="1"/>
        <v>0</v>
      </c>
      <c r="H34" s="27">
        <f>954.1-40</f>
        <v>914.1</v>
      </c>
      <c r="I34" s="27">
        <v>914.1</v>
      </c>
      <c r="J34" s="101"/>
    </row>
    <row r="35" spans="1:10" s="19" customFormat="1" ht="60">
      <c r="A35" s="44" t="s">
        <v>132</v>
      </c>
      <c r="B35" s="23" t="s">
        <v>57</v>
      </c>
      <c r="C35" s="23" t="s">
        <v>22</v>
      </c>
      <c r="D35" s="23" t="s">
        <v>27</v>
      </c>
      <c r="E35" s="14" t="s">
        <v>273</v>
      </c>
      <c r="F35" s="23" t="s">
        <v>131</v>
      </c>
      <c r="G35" s="39">
        <f t="shared" si="1"/>
        <v>0</v>
      </c>
      <c r="H35" s="27">
        <f>288.1-12</f>
        <v>276.1</v>
      </c>
      <c r="I35" s="27">
        <v>276.1</v>
      </c>
      <c r="J35" s="101"/>
    </row>
    <row r="36" spans="1:10" s="5" customFormat="1" ht="71.25">
      <c r="A36" s="51" t="s">
        <v>1</v>
      </c>
      <c r="B36" s="11" t="s">
        <v>57</v>
      </c>
      <c r="C36" s="11" t="s">
        <v>22</v>
      </c>
      <c r="D36" s="11" t="s">
        <v>24</v>
      </c>
      <c r="E36" s="11"/>
      <c r="F36" s="11"/>
      <c r="G36" s="39">
        <f t="shared" si="1"/>
        <v>110.27899999999863</v>
      </c>
      <c r="H36" s="24">
        <f>H37</f>
        <v>19221.628999999994</v>
      </c>
      <c r="I36" s="24">
        <f>I37</f>
        <v>19111.349999999995</v>
      </c>
      <c r="J36" s="107"/>
    </row>
    <row r="37" spans="1:10" s="5" customFormat="1" ht="18" customHeight="1">
      <c r="A37" s="45" t="s">
        <v>91</v>
      </c>
      <c r="B37" s="14" t="s">
        <v>57</v>
      </c>
      <c r="C37" s="14" t="s">
        <v>22</v>
      </c>
      <c r="D37" s="14" t="s">
        <v>24</v>
      </c>
      <c r="E37" s="14" t="s">
        <v>134</v>
      </c>
      <c r="F37" s="14"/>
      <c r="G37" s="39">
        <f aca="true" t="shared" si="2" ref="G37:G46">H37-I37</f>
        <v>110.27899999999863</v>
      </c>
      <c r="H37" s="26">
        <f>H38+H47+H52+H57+H63</f>
        <v>19221.628999999994</v>
      </c>
      <c r="I37" s="26">
        <f>I38+I47+I52+I57+I63</f>
        <v>19111.349999999995</v>
      </c>
      <c r="J37" s="97"/>
    </row>
    <row r="38" spans="1:10" s="5" customFormat="1" ht="14.25" customHeight="1">
      <c r="A38" s="45" t="s">
        <v>91</v>
      </c>
      <c r="B38" s="14" t="s">
        <v>57</v>
      </c>
      <c r="C38" s="14" t="s">
        <v>22</v>
      </c>
      <c r="D38" s="14" t="s">
        <v>24</v>
      </c>
      <c r="E38" s="14" t="s">
        <v>135</v>
      </c>
      <c r="F38" s="14"/>
      <c r="G38" s="39">
        <f t="shared" si="2"/>
        <v>110.27899999999863</v>
      </c>
      <c r="H38" s="26">
        <f>H39+H42+H40+H44+H45+H41+H46+H43</f>
        <v>17635.628999999997</v>
      </c>
      <c r="I38" s="26">
        <f>I39+I42+I40+I44+I45+I41+I46+I43</f>
        <v>17525.35</v>
      </c>
      <c r="J38" s="97"/>
    </row>
    <row r="39" spans="1:10" s="5" customFormat="1" ht="37.5" customHeight="1">
      <c r="A39" s="44" t="s">
        <v>130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89</v>
      </c>
      <c r="G39" s="39">
        <f t="shared" si="2"/>
        <v>0</v>
      </c>
      <c r="H39" s="26">
        <f>12593.1-500</f>
        <v>12093.1</v>
      </c>
      <c r="I39" s="92">
        <v>12093.1</v>
      </c>
      <c r="J39" s="98"/>
    </row>
    <row r="40" spans="1:10" s="5" customFormat="1" ht="46.5" customHeight="1">
      <c r="A40" s="44" t="s">
        <v>102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101</v>
      </c>
      <c r="G40" s="39">
        <f t="shared" si="2"/>
        <v>0</v>
      </c>
      <c r="H40" s="26">
        <f>1.8+1.071</f>
        <v>2.871</v>
      </c>
      <c r="I40" s="92">
        <v>2.871</v>
      </c>
      <c r="J40" s="98"/>
    </row>
    <row r="41" spans="1:10" s="5" customFormat="1" ht="46.5" customHeight="1">
      <c r="A41" s="44" t="s">
        <v>132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131</v>
      </c>
      <c r="G41" s="39">
        <f t="shared" si="2"/>
        <v>0</v>
      </c>
      <c r="H41" s="26">
        <f>3803.1-158-63.1</f>
        <v>3582</v>
      </c>
      <c r="I41" s="92">
        <v>3582</v>
      </c>
      <c r="J41" s="98"/>
    </row>
    <row r="42" spans="1:10" s="5" customFormat="1" ht="45.75" customHeight="1">
      <c r="A42" s="45" t="s">
        <v>87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86</v>
      </c>
      <c r="G42" s="39">
        <f t="shared" si="2"/>
        <v>85.5</v>
      </c>
      <c r="H42" s="26">
        <f>870-100.809+94.862+0.1+700+35.133+11.8+42+31+40+14.5</f>
        <v>1738.586</v>
      </c>
      <c r="I42" s="92">
        <v>1653.086</v>
      </c>
      <c r="J42" s="98"/>
    </row>
    <row r="43" spans="1:10" s="5" customFormat="1" ht="45" hidden="1">
      <c r="A43" s="66" t="s">
        <v>244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98</v>
      </c>
      <c r="G43" s="39">
        <f t="shared" si="2"/>
        <v>0</v>
      </c>
      <c r="H43" s="26"/>
      <c r="I43" s="92"/>
      <c r="J43" s="98"/>
    </row>
    <row r="44" spans="1:10" s="5" customFormat="1" ht="28.5" customHeight="1">
      <c r="A44" s="45" t="s">
        <v>108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106</v>
      </c>
      <c r="G44" s="39">
        <f t="shared" si="2"/>
        <v>0</v>
      </c>
      <c r="H44" s="26">
        <v>10</v>
      </c>
      <c r="I44" s="92">
        <v>10</v>
      </c>
      <c r="J44" s="98"/>
    </row>
    <row r="45" spans="1:10" s="5" customFormat="1" ht="15">
      <c r="A45" s="44" t="s">
        <v>109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107</v>
      </c>
      <c r="G45" s="39">
        <f t="shared" si="2"/>
        <v>0</v>
      </c>
      <c r="H45" s="26">
        <f>85.2</f>
        <v>85.2</v>
      </c>
      <c r="I45" s="92">
        <v>85.2</v>
      </c>
      <c r="J45" s="98"/>
    </row>
    <row r="46" spans="1:10" s="5" customFormat="1" ht="15">
      <c r="A46" s="44" t="s">
        <v>230</v>
      </c>
      <c r="B46" s="14" t="s">
        <v>57</v>
      </c>
      <c r="C46" s="14" t="s">
        <v>22</v>
      </c>
      <c r="D46" s="14" t="s">
        <v>24</v>
      </c>
      <c r="E46" s="14" t="s">
        <v>135</v>
      </c>
      <c r="F46" s="64" t="s">
        <v>228</v>
      </c>
      <c r="G46" s="39">
        <f t="shared" si="2"/>
        <v>24.778999999999982</v>
      </c>
      <c r="H46" s="26">
        <f>25+63.1+10.993+1+23.779</f>
        <v>123.87199999999999</v>
      </c>
      <c r="I46" s="92">
        <v>99.093</v>
      </c>
      <c r="J46" s="98"/>
    </row>
    <row r="47" spans="1:10" s="5" customFormat="1" ht="30">
      <c r="A47" s="44" t="s">
        <v>281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/>
      <c r="G47" s="39">
        <f>H47-I47</f>
        <v>0</v>
      </c>
      <c r="H47" s="26">
        <f>H51+H48+H49+H50</f>
        <v>295.6</v>
      </c>
      <c r="I47" s="26">
        <f>I51+I48+I49+I50</f>
        <v>295.6</v>
      </c>
      <c r="J47" s="98"/>
    </row>
    <row r="48" spans="1:10" s="5" customFormat="1" ht="30">
      <c r="A48" s="44" t="s">
        <v>130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89</v>
      </c>
      <c r="G48" s="39">
        <f>H48-I48</f>
        <v>0</v>
      </c>
      <c r="H48" s="26">
        <v>208.4</v>
      </c>
      <c r="I48" s="92">
        <v>208.4</v>
      </c>
      <c r="J48" s="98"/>
    </row>
    <row r="49" spans="1:10" s="5" customFormat="1" ht="47.25" customHeight="1" hidden="1">
      <c r="A49" s="44" t="s">
        <v>102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101</v>
      </c>
      <c r="G49" s="39">
        <f>H49-I49</f>
        <v>0</v>
      </c>
      <c r="H49" s="26"/>
      <c r="I49" s="92"/>
      <c r="J49" s="98"/>
    </row>
    <row r="50" spans="1:10" s="5" customFormat="1" ht="47.25" customHeight="1">
      <c r="A50" s="44" t="s">
        <v>132</v>
      </c>
      <c r="B50" s="14" t="s">
        <v>57</v>
      </c>
      <c r="C50" s="14" t="s">
        <v>22</v>
      </c>
      <c r="D50" s="14" t="s">
        <v>24</v>
      </c>
      <c r="E50" s="14" t="s">
        <v>136</v>
      </c>
      <c r="F50" s="14" t="s">
        <v>131</v>
      </c>
      <c r="G50" s="39">
        <f>H50-I50</f>
        <v>0</v>
      </c>
      <c r="H50" s="26">
        <v>63</v>
      </c>
      <c r="I50" s="92">
        <v>63</v>
      </c>
      <c r="J50" s="98"/>
    </row>
    <row r="51" spans="1:10" s="5" customFormat="1" ht="45">
      <c r="A51" s="45" t="s">
        <v>87</v>
      </c>
      <c r="B51" s="14" t="s">
        <v>57</v>
      </c>
      <c r="C51" s="14" t="s">
        <v>22</v>
      </c>
      <c r="D51" s="14" t="s">
        <v>24</v>
      </c>
      <c r="E51" s="14" t="s">
        <v>136</v>
      </c>
      <c r="F51" s="64" t="s">
        <v>86</v>
      </c>
      <c r="G51" s="39">
        <f>H51-I51</f>
        <v>0</v>
      </c>
      <c r="H51" s="26">
        <v>24.2</v>
      </c>
      <c r="I51" s="92">
        <v>24.2</v>
      </c>
      <c r="J51" s="98"/>
    </row>
    <row r="52" spans="1:10" s="5" customFormat="1" ht="30.75" customHeight="1">
      <c r="A52" s="44" t="s">
        <v>282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/>
      <c r="G52" s="39">
        <f aca="true" t="shared" si="3" ref="G52:G64">H52-I52</f>
        <v>0</v>
      </c>
      <c r="H52" s="26">
        <f>H56+H53+H54+H55</f>
        <v>704</v>
      </c>
      <c r="I52" s="26">
        <f>I56+I53+I54+I55</f>
        <v>704</v>
      </c>
      <c r="J52" s="97"/>
    </row>
    <row r="53" spans="1:10" s="5" customFormat="1" ht="43.5" customHeight="1">
      <c r="A53" s="44" t="s">
        <v>90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89</v>
      </c>
      <c r="G53" s="39">
        <f t="shared" si="3"/>
        <v>0</v>
      </c>
      <c r="H53" s="26">
        <v>424.4</v>
      </c>
      <c r="I53" s="92">
        <v>424.4</v>
      </c>
      <c r="J53" s="97"/>
    </row>
    <row r="54" spans="1:10" s="5" customFormat="1" ht="33.75" customHeight="1" hidden="1">
      <c r="A54" s="44" t="s">
        <v>102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101</v>
      </c>
      <c r="G54" s="39">
        <f t="shared" si="3"/>
        <v>0</v>
      </c>
      <c r="H54" s="26"/>
      <c r="I54" s="92"/>
      <c r="J54" s="97"/>
    </row>
    <row r="55" spans="1:10" s="5" customFormat="1" ht="33.75" customHeight="1">
      <c r="A55" s="44" t="s">
        <v>132</v>
      </c>
      <c r="B55" s="14" t="s">
        <v>57</v>
      </c>
      <c r="C55" s="14" t="s">
        <v>22</v>
      </c>
      <c r="D55" s="14" t="s">
        <v>24</v>
      </c>
      <c r="E55" s="14" t="s">
        <v>137</v>
      </c>
      <c r="F55" s="14" t="s">
        <v>131</v>
      </c>
      <c r="G55" s="39">
        <f t="shared" si="3"/>
        <v>0</v>
      </c>
      <c r="H55" s="26">
        <v>128.2</v>
      </c>
      <c r="I55" s="92">
        <v>128.2</v>
      </c>
      <c r="J55" s="97"/>
    </row>
    <row r="56" spans="1:10" s="5" customFormat="1" ht="45">
      <c r="A56" s="45" t="s">
        <v>87</v>
      </c>
      <c r="B56" s="14" t="s">
        <v>57</v>
      </c>
      <c r="C56" s="14" t="s">
        <v>22</v>
      </c>
      <c r="D56" s="14" t="s">
        <v>24</v>
      </c>
      <c r="E56" s="14" t="s">
        <v>137</v>
      </c>
      <c r="F56" s="64" t="s">
        <v>86</v>
      </c>
      <c r="G56" s="39">
        <f t="shared" si="3"/>
        <v>0</v>
      </c>
      <c r="H56" s="26">
        <v>151.4</v>
      </c>
      <c r="I56" s="92">
        <v>151.4</v>
      </c>
      <c r="J56" s="97"/>
    </row>
    <row r="57" spans="1:10" s="5" customFormat="1" ht="47.25" customHeight="1">
      <c r="A57" s="44" t="s">
        <v>283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/>
      <c r="G57" s="39">
        <f t="shared" si="3"/>
        <v>0</v>
      </c>
      <c r="H57" s="26">
        <f>H62+H58+H60+H61+H59</f>
        <v>316.1</v>
      </c>
      <c r="I57" s="26">
        <f>I62+I58+I60+I61+I59</f>
        <v>316.1</v>
      </c>
      <c r="J57" s="97"/>
    </row>
    <row r="58" spans="1:10" s="5" customFormat="1" ht="30">
      <c r="A58" s="44" t="s">
        <v>130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89</v>
      </c>
      <c r="G58" s="39">
        <f t="shared" si="3"/>
        <v>-2.1999999999999886</v>
      </c>
      <c r="H58" s="26">
        <f>224.6-2.2</f>
        <v>222.4</v>
      </c>
      <c r="I58" s="26">
        <v>224.6</v>
      </c>
      <c r="J58" s="97"/>
    </row>
    <row r="59" spans="1:10" s="5" customFormat="1" ht="45">
      <c r="A59" s="44" t="s">
        <v>102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101</v>
      </c>
      <c r="G59" s="39">
        <f t="shared" si="3"/>
        <v>2.447</v>
      </c>
      <c r="H59" s="26">
        <f>2.447</f>
        <v>2.447</v>
      </c>
      <c r="I59" s="92"/>
      <c r="J59" s="97"/>
    </row>
    <row r="60" spans="1:10" s="5" customFormat="1" ht="60">
      <c r="A60" s="44" t="s">
        <v>405</v>
      </c>
      <c r="B60" s="14" t="s">
        <v>57</v>
      </c>
      <c r="C60" s="14" t="s">
        <v>22</v>
      </c>
      <c r="D60" s="14" t="s">
        <v>24</v>
      </c>
      <c r="E60" s="14" t="s">
        <v>138</v>
      </c>
      <c r="F60" s="14" t="s">
        <v>404</v>
      </c>
      <c r="G60" s="39">
        <f t="shared" si="3"/>
        <v>2.2</v>
      </c>
      <c r="H60" s="26">
        <f>1.65+2.2</f>
        <v>3.85</v>
      </c>
      <c r="I60" s="92">
        <v>1.65</v>
      </c>
      <c r="J60" s="97"/>
    </row>
    <row r="61" spans="1:10" s="5" customFormat="1" ht="60">
      <c r="A61" s="44" t="s">
        <v>132</v>
      </c>
      <c r="B61" s="14" t="s">
        <v>57</v>
      </c>
      <c r="C61" s="14" t="s">
        <v>22</v>
      </c>
      <c r="D61" s="14" t="s">
        <v>24</v>
      </c>
      <c r="E61" s="14" t="s">
        <v>138</v>
      </c>
      <c r="F61" s="14" t="s">
        <v>131</v>
      </c>
      <c r="G61" s="39">
        <f t="shared" si="3"/>
        <v>0</v>
      </c>
      <c r="H61" s="26">
        <v>67.9</v>
      </c>
      <c r="I61" s="92">
        <v>67.9</v>
      </c>
      <c r="J61" s="97"/>
    </row>
    <row r="62" spans="1:10" s="5" customFormat="1" ht="45">
      <c r="A62" s="45" t="s">
        <v>87</v>
      </c>
      <c r="B62" s="14" t="s">
        <v>57</v>
      </c>
      <c r="C62" s="14" t="s">
        <v>22</v>
      </c>
      <c r="D62" s="14" t="s">
        <v>24</v>
      </c>
      <c r="E62" s="14" t="s">
        <v>138</v>
      </c>
      <c r="F62" s="64" t="s">
        <v>86</v>
      </c>
      <c r="G62" s="39">
        <f t="shared" si="3"/>
        <v>-2.4469999999999956</v>
      </c>
      <c r="H62" s="26">
        <f>23.6-1.65-2.447</f>
        <v>19.503000000000004</v>
      </c>
      <c r="I62" s="92">
        <v>21.95</v>
      </c>
      <c r="J62" s="97"/>
    </row>
    <row r="63" spans="1:10" s="5" customFormat="1" ht="60">
      <c r="A63" s="44" t="s">
        <v>284</v>
      </c>
      <c r="B63" s="14" t="s">
        <v>57</v>
      </c>
      <c r="C63" s="14" t="s">
        <v>22</v>
      </c>
      <c r="D63" s="14" t="s">
        <v>24</v>
      </c>
      <c r="E63" s="14" t="s">
        <v>139</v>
      </c>
      <c r="F63" s="14"/>
      <c r="G63" s="39">
        <f t="shared" si="3"/>
        <v>0</v>
      </c>
      <c r="H63" s="26">
        <f>H64</f>
        <v>270.3</v>
      </c>
      <c r="I63" s="26">
        <f>I64</f>
        <v>270.3</v>
      </c>
      <c r="J63" s="97"/>
    </row>
    <row r="64" spans="1:10" s="5" customFormat="1" ht="45">
      <c r="A64" s="45" t="s">
        <v>87</v>
      </c>
      <c r="B64" s="14" t="s">
        <v>57</v>
      </c>
      <c r="C64" s="14" t="s">
        <v>22</v>
      </c>
      <c r="D64" s="14" t="s">
        <v>24</v>
      </c>
      <c r="E64" s="14" t="s">
        <v>139</v>
      </c>
      <c r="F64" s="64" t="s">
        <v>86</v>
      </c>
      <c r="G64" s="39">
        <f t="shared" si="3"/>
        <v>0</v>
      </c>
      <c r="H64" s="26">
        <v>270.3</v>
      </c>
      <c r="I64" s="92">
        <v>270.3</v>
      </c>
      <c r="J64" s="97"/>
    </row>
    <row r="65" spans="1:10" s="16" customFormat="1" ht="14.25" hidden="1">
      <c r="A65" s="51" t="s">
        <v>9</v>
      </c>
      <c r="B65" s="15" t="s">
        <v>57</v>
      </c>
      <c r="C65" s="15" t="s">
        <v>22</v>
      </c>
      <c r="D65" s="15" t="s">
        <v>43</v>
      </c>
      <c r="E65" s="15"/>
      <c r="F65" s="15"/>
      <c r="G65" s="39">
        <f aca="true" t="shared" si="4" ref="G65:G80">H65-I65</f>
        <v>0</v>
      </c>
      <c r="H65" s="24">
        <f aca="true" t="shared" si="5" ref="H65:I67">H66</f>
        <v>0</v>
      </c>
      <c r="I65" s="24">
        <f t="shared" si="5"/>
        <v>0</v>
      </c>
      <c r="J65" s="99"/>
    </row>
    <row r="66" spans="1:10" s="5" customFormat="1" ht="33" customHeight="1" hidden="1">
      <c r="A66" s="80" t="s">
        <v>92</v>
      </c>
      <c r="B66" s="23" t="s">
        <v>57</v>
      </c>
      <c r="C66" s="23" t="s">
        <v>22</v>
      </c>
      <c r="D66" s="23" t="s">
        <v>43</v>
      </c>
      <c r="E66" s="23" t="s">
        <v>140</v>
      </c>
      <c r="F66" s="14"/>
      <c r="G66" s="39">
        <f t="shared" si="4"/>
        <v>0</v>
      </c>
      <c r="H66" s="26">
        <f t="shared" si="5"/>
        <v>0</v>
      </c>
      <c r="I66" s="26">
        <f t="shared" si="5"/>
        <v>0</v>
      </c>
      <c r="J66" s="98"/>
    </row>
    <row r="67" spans="1:10" s="5" customFormat="1" ht="62.25" customHeight="1" hidden="1">
      <c r="A67" s="127" t="s">
        <v>285</v>
      </c>
      <c r="B67" s="8" t="s">
        <v>57</v>
      </c>
      <c r="C67" s="8" t="s">
        <v>22</v>
      </c>
      <c r="D67" s="8" t="s">
        <v>43</v>
      </c>
      <c r="E67" s="8" t="s">
        <v>212</v>
      </c>
      <c r="F67" s="8"/>
      <c r="G67" s="39">
        <f>H67-I67</f>
        <v>0</v>
      </c>
      <c r="H67" s="26">
        <f t="shared" si="5"/>
        <v>0</v>
      </c>
      <c r="I67" s="26">
        <f t="shared" si="5"/>
        <v>0</v>
      </c>
      <c r="J67" s="98"/>
    </row>
    <row r="68" spans="1:10" s="5" customFormat="1" ht="46.5" customHeight="1" hidden="1">
      <c r="A68" s="45" t="s">
        <v>87</v>
      </c>
      <c r="B68" s="8" t="s">
        <v>57</v>
      </c>
      <c r="C68" s="8" t="s">
        <v>22</v>
      </c>
      <c r="D68" s="8" t="s">
        <v>43</v>
      </c>
      <c r="E68" s="8" t="s">
        <v>212</v>
      </c>
      <c r="F68" s="8" t="s">
        <v>86</v>
      </c>
      <c r="G68" s="39">
        <f>H68-I68</f>
        <v>0</v>
      </c>
      <c r="H68" s="26"/>
      <c r="I68" s="92"/>
      <c r="J68" s="98"/>
    </row>
    <row r="69" spans="1:10" s="16" customFormat="1" ht="45" customHeight="1">
      <c r="A69" s="51" t="s">
        <v>11</v>
      </c>
      <c r="B69" s="20" t="s">
        <v>57</v>
      </c>
      <c r="C69" s="15" t="s">
        <v>22</v>
      </c>
      <c r="D69" s="15" t="s">
        <v>35</v>
      </c>
      <c r="E69" s="15"/>
      <c r="F69" s="15"/>
      <c r="G69" s="39">
        <f t="shared" si="4"/>
        <v>-35.5</v>
      </c>
      <c r="H69" s="24">
        <f>H70</f>
        <v>3275.437</v>
      </c>
      <c r="I69" s="93">
        <f>I71</f>
        <v>3310.937</v>
      </c>
      <c r="J69" s="107"/>
    </row>
    <row r="70" spans="1:10" s="19" customFormat="1" ht="21" customHeight="1">
      <c r="A70" s="45" t="s">
        <v>91</v>
      </c>
      <c r="B70" s="23" t="s">
        <v>57</v>
      </c>
      <c r="C70" s="23" t="s">
        <v>22</v>
      </c>
      <c r="D70" s="23" t="s">
        <v>35</v>
      </c>
      <c r="E70" s="23" t="s">
        <v>134</v>
      </c>
      <c r="F70" s="23"/>
      <c r="G70" s="39">
        <f t="shared" si="4"/>
        <v>-35.5</v>
      </c>
      <c r="H70" s="27">
        <f>H71</f>
        <v>3275.437</v>
      </c>
      <c r="I70" s="27">
        <f>I71</f>
        <v>3310.937</v>
      </c>
      <c r="J70" s="101"/>
    </row>
    <row r="71" spans="1:10" s="9" customFormat="1" ht="18" customHeight="1">
      <c r="A71" s="45" t="s">
        <v>91</v>
      </c>
      <c r="B71" s="14" t="s">
        <v>57</v>
      </c>
      <c r="C71" s="14" t="s">
        <v>22</v>
      </c>
      <c r="D71" s="14" t="s">
        <v>35</v>
      </c>
      <c r="E71" s="14" t="s">
        <v>135</v>
      </c>
      <c r="F71" s="14"/>
      <c r="G71" s="39">
        <f t="shared" si="4"/>
        <v>-35.5</v>
      </c>
      <c r="H71" s="27">
        <f>H72+H73+H75+H74</f>
        <v>3275.437</v>
      </c>
      <c r="I71" s="27">
        <f>I72+I73+I75+I74</f>
        <v>3310.937</v>
      </c>
      <c r="J71" s="101"/>
    </row>
    <row r="72" spans="1:10" s="9" customFormat="1" ht="30">
      <c r="A72" s="44" t="s">
        <v>130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89</v>
      </c>
      <c r="G72" s="39">
        <f t="shared" si="4"/>
        <v>0</v>
      </c>
      <c r="H72" s="27">
        <f>2404.7-100-0.6</f>
        <v>2304.1</v>
      </c>
      <c r="I72" s="95">
        <v>2304.1</v>
      </c>
      <c r="J72" s="98"/>
    </row>
    <row r="73" spans="1:10" s="9" customFormat="1" ht="46.5" customHeight="1">
      <c r="A73" s="44" t="s">
        <v>102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101</v>
      </c>
      <c r="G73" s="39">
        <f t="shared" si="4"/>
        <v>0</v>
      </c>
      <c r="H73" s="27">
        <f>0.6</f>
        <v>0.6</v>
      </c>
      <c r="I73" s="95">
        <v>0.6</v>
      </c>
      <c r="J73" s="98"/>
    </row>
    <row r="74" spans="1:10" s="9" customFormat="1" ht="46.5" customHeight="1">
      <c r="A74" s="44" t="s">
        <v>132</v>
      </c>
      <c r="B74" s="14" t="s">
        <v>57</v>
      </c>
      <c r="C74" s="14" t="s">
        <v>22</v>
      </c>
      <c r="D74" s="14" t="s">
        <v>35</v>
      </c>
      <c r="E74" s="14" t="s">
        <v>135</v>
      </c>
      <c r="F74" s="64" t="s">
        <v>131</v>
      </c>
      <c r="G74" s="39">
        <f t="shared" si="4"/>
        <v>62</v>
      </c>
      <c r="H74" s="27">
        <f>726.2-30+62</f>
        <v>758.2</v>
      </c>
      <c r="I74" s="95">
        <v>696.2</v>
      </c>
      <c r="J74" s="98"/>
    </row>
    <row r="75" spans="1:10" s="9" customFormat="1" ht="46.5" customHeight="1">
      <c r="A75" s="45" t="s">
        <v>87</v>
      </c>
      <c r="B75" s="14" t="s">
        <v>57</v>
      </c>
      <c r="C75" s="14" t="s">
        <v>22</v>
      </c>
      <c r="D75" s="14" t="s">
        <v>35</v>
      </c>
      <c r="E75" s="14" t="s">
        <v>135</v>
      </c>
      <c r="F75" s="64" t="s">
        <v>86</v>
      </c>
      <c r="G75" s="39">
        <f t="shared" si="4"/>
        <v>-97.5</v>
      </c>
      <c r="H75" s="27">
        <f>250+60.037-31-66.5</f>
        <v>212.53699999999998</v>
      </c>
      <c r="I75" s="95">
        <v>310.037</v>
      </c>
      <c r="J75" s="98"/>
    </row>
    <row r="76" spans="1:10" s="9" customFormat="1" ht="15.75" customHeight="1" hidden="1">
      <c r="A76" s="36" t="s">
        <v>37</v>
      </c>
      <c r="B76" s="7" t="s">
        <v>57</v>
      </c>
      <c r="C76" s="7" t="s">
        <v>22</v>
      </c>
      <c r="D76" s="7" t="s">
        <v>40</v>
      </c>
      <c r="E76" s="7"/>
      <c r="F76" s="7"/>
      <c r="G76" s="39">
        <f t="shared" si="4"/>
        <v>0</v>
      </c>
      <c r="H76" s="25">
        <f>H77</f>
        <v>0</v>
      </c>
      <c r="I76" s="94">
        <f>I77</f>
        <v>0</v>
      </c>
      <c r="J76" s="108"/>
    </row>
    <row r="77" spans="1:10" s="9" customFormat="1" ht="30" hidden="1">
      <c r="A77" s="80" t="s">
        <v>92</v>
      </c>
      <c r="B77" s="8" t="s">
        <v>57</v>
      </c>
      <c r="C77" s="8" t="s">
        <v>22</v>
      </c>
      <c r="D77" s="8" t="s">
        <v>40</v>
      </c>
      <c r="E77" s="8" t="s">
        <v>140</v>
      </c>
      <c r="F77" s="8"/>
      <c r="G77" s="39">
        <f t="shared" si="4"/>
        <v>0</v>
      </c>
      <c r="H77" s="27">
        <f>H79</f>
        <v>0</v>
      </c>
      <c r="I77" s="95">
        <f>I79</f>
        <v>0</v>
      </c>
      <c r="J77" s="101"/>
    </row>
    <row r="78" spans="1:10" s="9" customFormat="1" ht="15.75" customHeight="1" hidden="1">
      <c r="A78" s="45" t="s">
        <v>7</v>
      </c>
      <c r="B78" s="8" t="s">
        <v>57</v>
      </c>
      <c r="C78" s="8" t="s">
        <v>22</v>
      </c>
      <c r="D78" s="8" t="s">
        <v>40</v>
      </c>
      <c r="E78" s="8" t="s">
        <v>141</v>
      </c>
      <c r="F78" s="8"/>
      <c r="G78" s="39">
        <f t="shared" si="4"/>
        <v>0</v>
      </c>
      <c r="H78" s="27">
        <f>H79</f>
        <v>0</v>
      </c>
      <c r="I78" s="95">
        <f>I79</f>
        <v>0</v>
      </c>
      <c r="J78" s="101"/>
    </row>
    <row r="79" spans="1:10" s="9" customFormat="1" ht="15" hidden="1">
      <c r="A79" s="45" t="s">
        <v>247</v>
      </c>
      <c r="B79" s="8" t="s">
        <v>57</v>
      </c>
      <c r="C79" s="8" t="s">
        <v>22</v>
      </c>
      <c r="D79" s="8" t="s">
        <v>40</v>
      </c>
      <c r="E79" s="8" t="s">
        <v>141</v>
      </c>
      <c r="F79" s="63" t="s">
        <v>248</v>
      </c>
      <c r="G79" s="39">
        <f t="shared" si="4"/>
        <v>0</v>
      </c>
      <c r="H79" s="27">
        <f>10-10</f>
        <v>0</v>
      </c>
      <c r="I79" s="95"/>
      <c r="J79" s="98"/>
    </row>
    <row r="80" spans="1:11" s="9" customFormat="1" ht="14.25">
      <c r="A80" s="36" t="s">
        <v>53</v>
      </c>
      <c r="B80" s="7" t="s">
        <v>57</v>
      </c>
      <c r="C80" s="7" t="s">
        <v>22</v>
      </c>
      <c r="D80" s="7" t="s">
        <v>36</v>
      </c>
      <c r="E80" s="7"/>
      <c r="F80" s="7"/>
      <c r="G80" s="39">
        <f t="shared" si="4"/>
        <v>669.765000000003</v>
      </c>
      <c r="H80" s="25">
        <f>H81+H84+H87+H90+H94+H123+H113+H103+H97+H100</f>
        <v>32739.419000000005</v>
      </c>
      <c r="I80" s="25">
        <f>I81+I84+I87+I90+I94+I123+I113+I103+I97+I100</f>
        <v>32069.654000000002</v>
      </c>
      <c r="J80" s="108"/>
      <c r="K80" s="29"/>
    </row>
    <row r="81" spans="1:10" s="5" customFormat="1" ht="57">
      <c r="A81" s="138" t="s">
        <v>314</v>
      </c>
      <c r="B81" s="8" t="s">
        <v>57</v>
      </c>
      <c r="C81" s="8" t="s">
        <v>22</v>
      </c>
      <c r="D81" s="8" t="s">
        <v>36</v>
      </c>
      <c r="E81" s="8" t="s">
        <v>144</v>
      </c>
      <c r="F81" s="8"/>
      <c r="G81" s="39">
        <f aca="true" t="shared" si="6" ref="G81:G93">H81-I81</f>
        <v>-10</v>
      </c>
      <c r="H81" s="26">
        <f>H82</f>
        <v>30</v>
      </c>
      <c r="I81" s="92">
        <f>I82</f>
        <v>40</v>
      </c>
      <c r="J81" s="98"/>
    </row>
    <row r="82" spans="1:10" s="5" customFormat="1" ht="30">
      <c r="A82" s="44" t="s">
        <v>207</v>
      </c>
      <c r="B82" s="8" t="s">
        <v>57</v>
      </c>
      <c r="C82" s="8" t="s">
        <v>22</v>
      </c>
      <c r="D82" s="8" t="s">
        <v>36</v>
      </c>
      <c r="E82" s="8" t="s">
        <v>145</v>
      </c>
      <c r="F82" s="8"/>
      <c r="G82" s="39">
        <f t="shared" si="6"/>
        <v>-10</v>
      </c>
      <c r="H82" s="26">
        <f>H83</f>
        <v>30</v>
      </c>
      <c r="I82" s="92">
        <f>I83</f>
        <v>40</v>
      </c>
      <c r="J82" s="98"/>
    </row>
    <row r="83" spans="1:10" s="5" customFormat="1" ht="45.75" customHeight="1">
      <c r="A83" s="45" t="s">
        <v>87</v>
      </c>
      <c r="B83" s="8" t="s">
        <v>57</v>
      </c>
      <c r="C83" s="8" t="s">
        <v>22</v>
      </c>
      <c r="D83" s="8" t="s">
        <v>36</v>
      </c>
      <c r="E83" s="8" t="s">
        <v>145</v>
      </c>
      <c r="F83" s="8" t="s">
        <v>86</v>
      </c>
      <c r="G83" s="39">
        <f t="shared" si="6"/>
        <v>-10</v>
      </c>
      <c r="H83" s="26">
        <f>40-10</f>
        <v>30</v>
      </c>
      <c r="I83" s="92">
        <v>40</v>
      </c>
      <c r="J83" s="98"/>
    </row>
    <row r="84" spans="1:10" s="5" customFormat="1" ht="51" customHeight="1">
      <c r="A84" s="157" t="s">
        <v>315</v>
      </c>
      <c r="B84" s="8" t="s">
        <v>57</v>
      </c>
      <c r="C84" s="8" t="s">
        <v>22</v>
      </c>
      <c r="D84" s="8" t="s">
        <v>36</v>
      </c>
      <c r="E84" s="8" t="s">
        <v>146</v>
      </c>
      <c r="F84" s="8"/>
      <c r="G84" s="39">
        <f t="shared" si="6"/>
        <v>-2.3</v>
      </c>
      <c r="H84" s="26">
        <f>H85</f>
        <v>7.7</v>
      </c>
      <c r="I84" s="92">
        <f>I85</f>
        <v>10</v>
      </c>
      <c r="J84" s="97"/>
    </row>
    <row r="85" spans="1:10" s="19" customFormat="1" ht="18" customHeight="1">
      <c r="A85" s="44" t="s">
        <v>116</v>
      </c>
      <c r="B85" s="18" t="s">
        <v>57</v>
      </c>
      <c r="C85" s="18" t="s">
        <v>22</v>
      </c>
      <c r="D85" s="18" t="s">
        <v>36</v>
      </c>
      <c r="E85" s="18" t="s">
        <v>147</v>
      </c>
      <c r="F85" s="18"/>
      <c r="G85" s="39">
        <f t="shared" si="6"/>
        <v>-2.3</v>
      </c>
      <c r="H85" s="27">
        <f>H86</f>
        <v>7.7</v>
      </c>
      <c r="I85" s="95">
        <f>I86</f>
        <v>10</v>
      </c>
      <c r="J85" s="101"/>
    </row>
    <row r="86" spans="1:10" s="5" customFormat="1" ht="45">
      <c r="A86" s="45" t="s">
        <v>87</v>
      </c>
      <c r="B86" s="8" t="s">
        <v>57</v>
      </c>
      <c r="C86" s="8" t="s">
        <v>22</v>
      </c>
      <c r="D86" s="8" t="s">
        <v>36</v>
      </c>
      <c r="E86" s="8" t="s">
        <v>147</v>
      </c>
      <c r="F86" s="8" t="s">
        <v>86</v>
      </c>
      <c r="G86" s="39">
        <f t="shared" si="6"/>
        <v>-2.3</v>
      </c>
      <c r="H86" s="26">
        <f>10-2.3</f>
        <v>7.7</v>
      </c>
      <c r="I86" s="92">
        <v>10</v>
      </c>
      <c r="J86" s="98"/>
    </row>
    <row r="87" spans="1:10" s="5" customFormat="1" ht="72.75" customHeight="1">
      <c r="A87" s="75" t="s">
        <v>316</v>
      </c>
      <c r="B87" s="8" t="s">
        <v>57</v>
      </c>
      <c r="C87" s="8" t="s">
        <v>22</v>
      </c>
      <c r="D87" s="8" t="s">
        <v>36</v>
      </c>
      <c r="E87" s="8" t="s">
        <v>148</v>
      </c>
      <c r="F87" s="8"/>
      <c r="G87" s="39">
        <f t="shared" si="6"/>
        <v>0</v>
      </c>
      <c r="H87" s="26">
        <f>H88</f>
        <v>10</v>
      </c>
      <c r="I87" s="92">
        <f>I88</f>
        <v>10</v>
      </c>
      <c r="J87" s="97"/>
    </row>
    <row r="88" spans="1:10" s="5" customFormat="1" ht="16.5" customHeight="1">
      <c r="A88" s="44" t="s">
        <v>127</v>
      </c>
      <c r="B88" s="8" t="s">
        <v>57</v>
      </c>
      <c r="C88" s="8" t="s">
        <v>22</v>
      </c>
      <c r="D88" s="8" t="s">
        <v>36</v>
      </c>
      <c r="E88" s="8" t="s">
        <v>149</v>
      </c>
      <c r="F88" s="8"/>
      <c r="G88" s="39">
        <f t="shared" si="6"/>
        <v>0</v>
      </c>
      <c r="H88" s="26">
        <f>H89</f>
        <v>10</v>
      </c>
      <c r="I88" s="92">
        <f>I89</f>
        <v>10</v>
      </c>
      <c r="J88" s="97"/>
    </row>
    <row r="89" spans="1:10" s="5" customFormat="1" ht="45">
      <c r="A89" s="45" t="s">
        <v>87</v>
      </c>
      <c r="B89" s="8" t="s">
        <v>57</v>
      </c>
      <c r="C89" s="8" t="s">
        <v>22</v>
      </c>
      <c r="D89" s="8" t="s">
        <v>36</v>
      </c>
      <c r="E89" s="8" t="s">
        <v>149</v>
      </c>
      <c r="F89" s="8" t="s">
        <v>86</v>
      </c>
      <c r="G89" s="39">
        <f t="shared" si="6"/>
        <v>0</v>
      </c>
      <c r="H89" s="26">
        <v>10</v>
      </c>
      <c r="I89" s="92">
        <v>10</v>
      </c>
      <c r="J89" s="98"/>
    </row>
    <row r="90" spans="1:10" s="5" customFormat="1" ht="42.75">
      <c r="A90" s="135" t="s">
        <v>317</v>
      </c>
      <c r="B90" s="8" t="s">
        <v>57</v>
      </c>
      <c r="C90" s="8" t="s">
        <v>22</v>
      </c>
      <c r="D90" s="8" t="s">
        <v>36</v>
      </c>
      <c r="E90" s="8" t="s">
        <v>150</v>
      </c>
      <c r="F90" s="8"/>
      <c r="G90" s="39">
        <f t="shared" si="6"/>
        <v>0</v>
      </c>
      <c r="H90" s="26">
        <f>H91</f>
        <v>15</v>
      </c>
      <c r="I90" s="92">
        <f>I91</f>
        <v>15</v>
      </c>
      <c r="J90" s="97"/>
    </row>
    <row r="91" spans="1:10" s="5" customFormat="1" ht="15">
      <c r="A91" s="44" t="s">
        <v>114</v>
      </c>
      <c r="B91" s="8" t="s">
        <v>57</v>
      </c>
      <c r="C91" s="8" t="s">
        <v>22</v>
      </c>
      <c r="D91" s="8" t="s">
        <v>36</v>
      </c>
      <c r="E91" s="8" t="s">
        <v>151</v>
      </c>
      <c r="F91" s="8"/>
      <c r="G91" s="39">
        <f t="shared" si="6"/>
        <v>0</v>
      </c>
      <c r="H91" s="26">
        <f>H92+H93</f>
        <v>15</v>
      </c>
      <c r="I91" s="26">
        <f>I92+I93</f>
        <v>15</v>
      </c>
      <c r="J91" s="97"/>
    </row>
    <row r="92" spans="1:10" s="5" customFormat="1" ht="45">
      <c r="A92" s="45" t="s">
        <v>87</v>
      </c>
      <c r="B92" s="8" t="s">
        <v>57</v>
      </c>
      <c r="C92" s="8" t="s">
        <v>22</v>
      </c>
      <c r="D92" s="8" t="s">
        <v>36</v>
      </c>
      <c r="E92" s="8" t="s">
        <v>151</v>
      </c>
      <c r="F92" s="8" t="s">
        <v>86</v>
      </c>
      <c r="G92" s="39">
        <f t="shared" si="6"/>
        <v>0</v>
      </c>
      <c r="H92" s="26">
        <v>15</v>
      </c>
      <c r="I92" s="92">
        <v>15</v>
      </c>
      <c r="J92" s="98"/>
    </row>
    <row r="93" spans="1:10" s="5" customFormat="1" ht="120" hidden="1">
      <c r="A93" s="44" t="s">
        <v>97</v>
      </c>
      <c r="B93" s="8" t="s">
        <v>57</v>
      </c>
      <c r="C93" s="8" t="s">
        <v>22</v>
      </c>
      <c r="D93" s="8" t="s">
        <v>36</v>
      </c>
      <c r="E93" s="8" t="s">
        <v>151</v>
      </c>
      <c r="F93" s="8" t="s">
        <v>98</v>
      </c>
      <c r="G93" s="39">
        <f t="shared" si="6"/>
        <v>0</v>
      </c>
      <c r="H93" s="26"/>
      <c r="I93" s="92"/>
      <c r="J93" s="98"/>
    </row>
    <row r="94" spans="1:10" s="5" customFormat="1" ht="57">
      <c r="A94" s="139" t="s">
        <v>362</v>
      </c>
      <c r="B94" s="8" t="s">
        <v>57</v>
      </c>
      <c r="C94" s="8" t="s">
        <v>22</v>
      </c>
      <c r="D94" s="8" t="s">
        <v>36</v>
      </c>
      <c r="E94" s="8" t="s">
        <v>152</v>
      </c>
      <c r="F94" s="8"/>
      <c r="G94" s="39">
        <f>H94-I94</f>
        <v>0</v>
      </c>
      <c r="H94" s="26">
        <f>H95</f>
        <v>2</v>
      </c>
      <c r="I94" s="26">
        <f>I95</f>
        <v>2</v>
      </c>
      <c r="J94" s="98"/>
    </row>
    <row r="95" spans="1:10" s="5" customFormat="1" ht="17.25" customHeight="1">
      <c r="A95" s="44" t="s">
        <v>121</v>
      </c>
      <c r="B95" s="8" t="s">
        <v>57</v>
      </c>
      <c r="C95" s="8" t="s">
        <v>22</v>
      </c>
      <c r="D95" s="8" t="s">
        <v>36</v>
      </c>
      <c r="E95" s="8" t="s">
        <v>153</v>
      </c>
      <c r="F95" s="8"/>
      <c r="G95" s="39">
        <f>H95-I95</f>
        <v>0</v>
      </c>
      <c r="H95" s="26">
        <f>H96</f>
        <v>2</v>
      </c>
      <c r="I95" s="26">
        <f>I96</f>
        <v>2</v>
      </c>
      <c r="J95" s="98"/>
    </row>
    <row r="96" spans="1:10" s="5" customFormat="1" ht="45">
      <c r="A96" s="45" t="s">
        <v>87</v>
      </c>
      <c r="B96" s="8" t="s">
        <v>57</v>
      </c>
      <c r="C96" s="8" t="s">
        <v>22</v>
      </c>
      <c r="D96" s="8" t="s">
        <v>36</v>
      </c>
      <c r="E96" s="8" t="s">
        <v>153</v>
      </c>
      <c r="F96" s="8" t="s">
        <v>86</v>
      </c>
      <c r="G96" s="39">
        <f>H96-I96</f>
        <v>0</v>
      </c>
      <c r="H96" s="26">
        <v>2</v>
      </c>
      <c r="I96" s="92">
        <v>2</v>
      </c>
      <c r="J96" s="98"/>
    </row>
    <row r="97" spans="1:10" s="5" customFormat="1" ht="43.5">
      <c r="A97" s="163" t="s">
        <v>363</v>
      </c>
      <c r="B97" s="8" t="s">
        <v>57</v>
      </c>
      <c r="C97" s="8" t="s">
        <v>22</v>
      </c>
      <c r="D97" s="8" t="s">
        <v>36</v>
      </c>
      <c r="E97" s="8" t="s">
        <v>364</v>
      </c>
      <c r="F97" s="8"/>
      <c r="G97" s="39">
        <f aca="true" t="shared" si="7" ref="G97:G102">H97-I97</f>
        <v>0</v>
      </c>
      <c r="H97" s="26">
        <f>H98</f>
        <v>5</v>
      </c>
      <c r="I97" s="26">
        <f>I98</f>
        <v>5</v>
      </c>
      <c r="J97" s="98"/>
    </row>
    <row r="98" spans="1:10" s="5" customFormat="1" ht="30">
      <c r="A98" s="52" t="s">
        <v>207</v>
      </c>
      <c r="B98" s="8" t="s">
        <v>57</v>
      </c>
      <c r="C98" s="8" t="s">
        <v>22</v>
      </c>
      <c r="D98" s="8" t="s">
        <v>36</v>
      </c>
      <c r="E98" s="8" t="s">
        <v>365</v>
      </c>
      <c r="F98" s="8"/>
      <c r="G98" s="39">
        <f t="shared" si="7"/>
        <v>0</v>
      </c>
      <c r="H98" s="26">
        <f>H99</f>
        <v>5</v>
      </c>
      <c r="I98" s="26">
        <f>I99</f>
        <v>5</v>
      </c>
      <c r="J98" s="98"/>
    </row>
    <row r="99" spans="1:10" s="5" customFormat="1" ht="45">
      <c r="A99" s="45" t="s">
        <v>87</v>
      </c>
      <c r="B99" s="8" t="s">
        <v>57</v>
      </c>
      <c r="C99" s="8" t="s">
        <v>22</v>
      </c>
      <c r="D99" s="8" t="s">
        <v>36</v>
      </c>
      <c r="E99" s="8" t="s">
        <v>365</v>
      </c>
      <c r="F99" s="8" t="s">
        <v>86</v>
      </c>
      <c r="G99" s="39">
        <f t="shared" si="7"/>
        <v>0</v>
      </c>
      <c r="H99" s="26">
        <v>5</v>
      </c>
      <c r="I99" s="92">
        <v>5</v>
      </c>
      <c r="J99" s="98"/>
    </row>
    <row r="100" spans="1:10" s="5" customFormat="1" ht="42" customHeight="1">
      <c r="A100" s="81" t="s">
        <v>366</v>
      </c>
      <c r="B100" s="8" t="s">
        <v>57</v>
      </c>
      <c r="C100" s="8" t="s">
        <v>22</v>
      </c>
      <c r="D100" s="8" t="s">
        <v>36</v>
      </c>
      <c r="E100" s="8" t="s">
        <v>368</v>
      </c>
      <c r="F100" s="8"/>
      <c r="G100" s="39">
        <f t="shared" si="7"/>
        <v>0</v>
      </c>
      <c r="H100" s="26">
        <f>H101</f>
        <v>230.2</v>
      </c>
      <c r="I100" s="26">
        <f>I101</f>
        <v>230.2</v>
      </c>
      <c r="J100" s="98"/>
    </row>
    <row r="101" spans="1:10" s="5" customFormat="1" ht="30">
      <c r="A101" s="164" t="s">
        <v>367</v>
      </c>
      <c r="B101" s="8" t="s">
        <v>57</v>
      </c>
      <c r="C101" s="8" t="s">
        <v>22</v>
      </c>
      <c r="D101" s="8" t="s">
        <v>36</v>
      </c>
      <c r="E101" s="8" t="s">
        <v>369</v>
      </c>
      <c r="F101" s="8"/>
      <c r="G101" s="39">
        <f t="shared" si="7"/>
        <v>0</v>
      </c>
      <c r="H101" s="26">
        <f>H102</f>
        <v>230.2</v>
      </c>
      <c r="I101" s="26">
        <f>I102</f>
        <v>230.2</v>
      </c>
      <c r="J101" s="98"/>
    </row>
    <row r="102" spans="1:10" s="5" customFormat="1" ht="45">
      <c r="A102" s="45" t="s">
        <v>87</v>
      </c>
      <c r="B102" s="8" t="s">
        <v>57</v>
      </c>
      <c r="C102" s="8" t="s">
        <v>22</v>
      </c>
      <c r="D102" s="8" t="s">
        <v>36</v>
      </c>
      <c r="E102" s="8" t="s">
        <v>369</v>
      </c>
      <c r="F102" s="8" t="s">
        <v>86</v>
      </c>
      <c r="G102" s="39">
        <f t="shared" si="7"/>
        <v>0</v>
      </c>
      <c r="H102" s="26">
        <f>250-11.8-8</f>
        <v>230.2</v>
      </c>
      <c r="I102" s="92">
        <v>230.2</v>
      </c>
      <c r="J102" s="98"/>
    </row>
    <row r="103" spans="1:10" s="19" customFormat="1" ht="42.75">
      <c r="A103" s="139" t="s">
        <v>325</v>
      </c>
      <c r="B103" s="18" t="s">
        <v>57</v>
      </c>
      <c r="C103" s="8" t="s">
        <v>22</v>
      </c>
      <c r="D103" s="8" t="s">
        <v>36</v>
      </c>
      <c r="E103" s="18" t="s">
        <v>174</v>
      </c>
      <c r="F103" s="18"/>
      <c r="G103" s="39">
        <f aca="true" t="shared" si="8" ref="G103:G112">H103-I103</f>
        <v>10</v>
      </c>
      <c r="H103" s="27">
        <f>H104</f>
        <v>6834.400000000001</v>
      </c>
      <c r="I103" s="95">
        <f>I104</f>
        <v>6824.400000000001</v>
      </c>
      <c r="J103" s="101"/>
    </row>
    <row r="104" spans="1:10" s="19" customFormat="1" ht="30">
      <c r="A104" s="37" t="s">
        <v>235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18"/>
      <c r="G104" s="39">
        <f t="shared" si="8"/>
        <v>10</v>
      </c>
      <c r="H104" s="27">
        <f>H108+H105+H106+H110+H111+H109+H107+H112</f>
        <v>6834.400000000001</v>
      </c>
      <c r="I104" s="27">
        <f>I108+I105+I106+I110+I111+I109+I107+I112</f>
        <v>6824.400000000001</v>
      </c>
      <c r="J104" s="101"/>
    </row>
    <row r="105" spans="1:10" s="19" customFormat="1" ht="15">
      <c r="A105" s="37" t="s">
        <v>208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18" t="s">
        <v>93</v>
      </c>
      <c r="G105" s="39">
        <f t="shared" si="8"/>
        <v>210.6790000000001</v>
      </c>
      <c r="H105" s="27">
        <f>4809.6-200+210.679</f>
        <v>4820.279</v>
      </c>
      <c r="I105" s="95">
        <v>4609.6</v>
      </c>
      <c r="J105" s="98"/>
    </row>
    <row r="106" spans="1:10" s="19" customFormat="1" ht="30" customHeight="1">
      <c r="A106" s="37" t="s">
        <v>104</v>
      </c>
      <c r="B106" s="18" t="s">
        <v>57</v>
      </c>
      <c r="C106" s="18" t="s">
        <v>22</v>
      </c>
      <c r="D106" s="18" t="s">
        <v>36</v>
      </c>
      <c r="E106" s="18" t="s">
        <v>175</v>
      </c>
      <c r="F106" s="18" t="s">
        <v>103</v>
      </c>
      <c r="G106" s="39">
        <f t="shared" si="8"/>
        <v>-2.722</v>
      </c>
      <c r="H106" s="27">
        <f>4-0.848-2.722</f>
        <v>0.43000000000000016</v>
      </c>
      <c r="I106" s="95">
        <v>3.152</v>
      </c>
      <c r="J106" s="98"/>
    </row>
    <row r="107" spans="1:10" s="19" customFormat="1" ht="46.5" customHeight="1">
      <c r="A107" s="37" t="s">
        <v>209</v>
      </c>
      <c r="B107" s="18" t="s">
        <v>57</v>
      </c>
      <c r="C107" s="8" t="s">
        <v>22</v>
      </c>
      <c r="D107" s="8" t="s">
        <v>36</v>
      </c>
      <c r="E107" s="18" t="s">
        <v>175</v>
      </c>
      <c r="F107" s="18" t="s">
        <v>133</v>
      </c>
      <c r="G107" s="39">
        <f t="shared" si="8"/>
        <v>-7.29099999999994</v>
      </c>
      <c r="H107" s="27">
        <f>1452.5-60-13.775-3.504-0.005-7.291</f>
        <v>1367.925</v>
      </c>
      <c r="I107" s="95">
        <v>1375.216</v>
      </c>
      <c r="J107" s="98"/>
    </row>
    <row r="108" spans="1:10" s="19" customFormat="1" ht="45">
      <c r="A108" s="37" t="s">
        <v>87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18" t="s">
        <v>86</v>
      </c>
      <c r="G108" s="39">
        <f t="shared" si="8"/>
        <v>-197.49800000000005</v>
      </c>
      <c r="H108" s="27">
        <f>700+117.8-197.498</f>
        <v>620.3019999999999</v>
      </c>
      <c r="I108" s="95">
        <v>817.8</v>
      </c>
      <c r="J108" s="98"/>
    </row>
    <row r="109" spans="1:10" s="19" customFormat="1" ht="45" hidden="1">
      <c r="A109" s="44" t="s">
        <v>119</v>
      </c>
      <c r="B109" s="18" t="s">
        <v>57</v>
      </c>
      <c r="C109" s="18" t="s">
        <v>22</v>
      </c>
      <c r="D109" s="18" t="s">
        <v>36</v>
      </c>
      <c r="E109" s="18" t="s">
        <v>175</v>
      </c>
      <c r="F109" s="23" t="s">
        <v>118</v>
      </c>
      <c r="G109" s="39">
        <f t="shared" si="8"/>
        <v>0</v>
      </c>
      <c r="H109" s="27"/>
      <c r="I109" s="95"/>
      <c r="J109" s="98"/>
    </row>
    <row r="110" spans="1:10" s="19" customFormat="1" ht="30">
      <c r="A110" s="66" t="s">
        <v>108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23" t="s">
        <v>106</v>
      </c>
      <c r="G110" s="39">
        <f t="shared" si="8"/>
        <v>-0.459</v>
      </c>
      <c r="H110" s="27"/>
      <c r="I110" s="95">
        <v>0.459</v>
      </c>
      <c r="J110" s="98"/>
    </row>
    <row r="111" spans="1:10" s="19" customFormat="1" ht="15" hidden="1">
      <c r="A111" s="66" t="s">
        <v>109</v>
      </c>
      <c r="B111" s="18" t="s">
        <v>57</v>
      </c>
      <c r="C111" s="8" t="s">
        <v>22</v>
      </c>
      <c r="D111" s="8" t="s">
        <v>36</v>
      </c>
      <c r="E111" s="18" t="s">
        <v>175</v>
      </c>
      <c r="F111" s="23" t="s">
        <v>107</v>
      </c>
      <c r="G111" s="39">
        <f t="shared" si="8"/>
        <v>0</v>
      </c>
      <c r="H111" s="27"/>
      <c r="I111" s="95"/>
      <c r="J111" s="98"/>
    </row>
    <row r="112" spans="1:10" s="19" customFormat="1" ht="15">
      <c r="A112" s="44" t="s">
        <v>230</v>
      </c>
      <c r="B112" s="18" t="s">
        <v>57</v>
      </c>
      <c r="C112" s="8" t="s">
        <v>22</v>
      </c>
      <c r="D112" s="8" t="s">
        <v>36</v>
      </c>
      <c r="E112" s="18" t="s">
        <v>175</v>
      </c>
      <c r="F112" s="23" t="s">
        <v>228</v>
      </c>
      <c r="G112" s="39">
        <f t="shared" si="8"/>
        <v>7.291</v>
      </c>
      <c r="H112" s="27">
        <f>0.041+13.775+3.504+0.005+0.848+7.291</f>
        <v>25.464</v>
      </c>
      <c r="I112" s="95">
        <v>18.173</v>
      </c>
      <c r="J112" s="98"/>
    </row>
    <row r="113" spans="1:10" s="5" customFormat="1" ht="73.5" customHeight="1">
      <c r="A113" s="139" t="s">
        <v>326</v>
      </c>
      <c r="B113" s="8" t="s">
        <v>57</v>
      </c>
      <c r="C113" s="8" t="s">
        <v>22</v>
      </c>
      <c r="D113" s="8" t="s">
        <v>36</v>
      </c>
      <c r="E113" s="8" t="s">
        <v>154</v>
      </c>
      <c r="F113" s="8"/>
      <c r="G113" s="39">
        <f aca="true" t="shared" si="9" ref="G113:G123">H113-I113</f>
        <v>659.8649999999998</v>
      </c>
      <c r="H113" s="26">
        <f>H114</f>
        <v>13645.67</v>
      </c>
      <c r="I113" s="26">
        <f>I114</f>
        <v>12985.805</v>
      </c>
      <c r="J113" s="98"/>
    </row>
    <row r="114" spans="1:10" s="5" customFormat="1" ht="30">
      <c r="A114" s="37" t="s">
        <v>235</v>
      </c>
      <c r="B114" s="8" t="s">
        <v>57</v>
      </c>
      <c r="C114" s="8" t="s">
        <v>22</v>
      </c>
      <c r="D114" s="8" t="s">
        <v>36</v>
      </c>
      <c r="E114" s="8" t="s">
        <v>211</v>
      </c>
      <c r="F114" s="8"/>
      <c r="G114" s="39">
        <f t="shared" si="9"/>
        <v>659.8649999999998</v>
      </c>
      <c r="H114" s="26">
        <f>H115+H116+H117+H118+H120+H121+H122+H119</f>
        <v>13645.67</v>
      </c>
      <c r="I114" s="26">
        <f>I115+I116+I117+I118+I120+I121+I122+I119</f>
        <v>12985.805</v>
      </c>
      <c r="J114" s="98"/>
    </row>
    <row r="115" spans="1:10" s="5" customFormat="1" ht="15">
      <c r="A115" s="37" t="s">
        <v>208</v>
      </c>
      <c r="B115" s="8" t="s">
        <v>57</v>
      </c>
      <c r="C115" s="8" t="s">
        <v>22</v>
      </c>
      <c r="D115" s="8" t="s">
        <v>36</v>
      </c>
      <c r="E115" s="8" t="s">
        <v>211</v>
      </c>
      <c r="F115" s="8" t="s">
        <v>93</v>
      </c>
      <c r="G115" s="39">
        <f t="shared" si="9"/>
        <v>0</v>
      </c>
      <c r="H115" s="26">
        <f>6011.4-250+40</f>
        <v>5801.4</v>
      </c>
      <c r="I115" s="92">
        <v>5801.4</v>
      </c>
      <c r="J115" s="98"/>
    </row>
    <row r="116" spans="1:10" s="5" customFormat="1" ht="30">
      <c r="A116" s="37" t="s">
        <v>104</v>
      </c>
      <c r="B116" s="8" t="s">
        <v>57</v>
      </c>
      <c r="C116" s="8" t="s">
        <v>22</v>
      </c>
      <c r="D116" s="8" t="s">
        <v>36</v>
      </c>
      <c r="E116" s="8" t="s">
        <v>211</v>
      </c>
      <c r="F116" s="8" t="s">
        <v>103</v>
      </c>
      <c r="G116" s="39">
        <f t="shared" si="9"/>
        <v>0.536</v>
      </c>
      <c r="H116" s="26">
        <f>0.536</f>
        <v>0.536</v>
      </c>
      <c r="I116" s="92"/>
      <c r="J116" s="98"/>
    </row>
    <row r="117" spans="1:10" s="5" customFormat="1" ht="45.75" customHeight="1">
      <c r="A117" s="37" t="s">
        <v>209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 t="s">
        <v>133</v>
      </c>
      <c r="G117" s="39">
        <f t="shared" si="9"/>
        <v>0</v>
      </c>
      <c r="H117" s="26">
        <f>1815.5-75-2.819+12</f>
        <v>1749.681</v>
      </c>
      <c r="I117" s="92">
        <v>1749.681</v>
      </c>
      <c r="J117" s="98"/>
    </row>
    <row r="118" spans="1:10" s="5" customFormat="1" ht="47.25" customHeight="1">
      <c r="A118" s="37" t="s">
        <v>87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86</v>
      </c>
      <c r="G118" s="39">
        <f t="shared" si="9"/>
        <v>598.9030000000002</v>
      </c>
      <c r="H118" s="26">
        <f>4800+158.4+91.36+93.684+91.673+16.067-2.116-89.226+164.603+20-92.75-32.607+19.175+705.085</f>
        <v>5943.348</v>
      </c>
      <c r="I118" s="92">
        <v>5344.445</v>
      </c>
      <c r="J118" s="98"/>
    </row>
    <row r="119" spans="1:10" s="5" customFormat="1" ht="47.25" customHeight="1" hidden="1">
      <c r="A119" s="80" t="s">
        <v>119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118</v>
      </c>
      <c r="G119" s="39">
        <f t="shared" si="9"/>
        <v>0</v>
      </c>
      <c r="H119" s="26"/>
      <c r="I119" s="92"/>
      <c r="J119" s="98"/>
    </row>
    <row r="120" spans="1:10" s="5" customFormat="1" ht="30">
      <c r="A120" s="66" t="s">
        <v>108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106</v>
      </c>
      <c r="G120" s="39">
        <f t="shared" si="9"/>
        <v>46.786</v>
      </c>
      <c r="H120" s="26">
        <f>33-2+46.786</f>
        <v>77.786</v>
      </c>
      <c r="I120" s="92">
        <v>31</v>
      </c>
      <c r="J120" s="98"/>
    </row>
    <row r="121" spans="1:10" s="5" customFormat="1" ht="15">
      <c r="A121" s="44" t="s">
        <v>109</v>
      </c>
      <c r="B121" s="8" t="s">
        <v>57</v>
      </c>
      <c r="C121" s="8" t="s">
        <v>22</v>
      </c>
      <c r="D121" s="8" t="s">
        <v>36</v>
      </c>
      <c r="E121" s="8" t="s">
        <v>211</v>
      </c>
      <c r="F121" s="8" t="s">
        <v>107</v>
      </c>
      <c r="G121" s="39">
        <f t="shared" si="9"/>
        <v>0</v>
      </c>
      <c r="H121" s="26">
        <f>0.85+7.5+2</f>
        <v>10.35</v>
      </c>
      <c r="I121" s="92">
        <v>10.35</v>
      </c>
      <c r="J121" s="98"/>
    </row>
    <row r="122" spans="1:10" s="5" customFormat="1" ht="15">
      <c r="A122" s="44" t="s">
        <v>230</v>
      </c>
      <c r="B122" s="8" t="s">
        <v>57</v>
      </c>
      <c r="C122" s="8" t="s">
        <v>22</v>
      </c>
      <c r="D122" s="8" t="s">
        <v>36</v>
      </c>
      <c r="E122" s="8" t="s">
        <v>211</v>
      </c>
      <c r="F122" s="8" t="s">
        <v>228</v>
      </c>
      <c r="G122" s="39">
        <f t="shared" si="9"/>
        <v>13.64</v>
      </c>
      <c r="H122" s="26">
        <f>2.819+33.869+0.265+0.387+11.589+0.2+13.44</f>
        <v>62.569</v>
      </c>
      <c r="I122" s="92">
        <v>48.929</v>
      </c>
      <c r="J122" s="98"/>
    </row>
    <row r="123" spans="1:10" s="5" customFormat="1" ht="30">
      <c r="A123" s="80" t="s">
        <v>92</v>
      </c>
      <c r="B123" s="8" t="s">
        <v>57</v>
      </c>
      <c r="C123" s="8" t="s">
        <v>22</v>
      </c>
      <c r="D123" s="8" t="s">
        <v>36</v>
      </c>
      <c r="E123" s="8" t="s">
        <v>140</v>
      </c>
      <c r="F123" s="63"/>
      <c r="G123" s="39">
        <f t="shared" si="9"/>
        <v>12.200000000000728</v>
      </c>
      <c r="H123" s="26">
        <f>H124+H138+H129+H134+H126+H136</f>
        <v>11959.449</v>
      </c>
      <c r="I123" s="26">
        <f>I124+I138+I129+I134+I126+I136</f>
        <v>11947.249</v>
      </c>
      <c r="J123" s="98"/>
    </row>
    <row r="124" spans="1:10" s="5" customFormat="1" ht="44.25" customHeight="1">
      <c r="A124" s="140" t="s">
        <v>6</v>
      </c>
      <c r="B124" s="8" t="s">
        <v>57</v>
      </c>
      <c r="C124" s="8" t="s">
        <v>22</v>
      </c>
      <c r="D124" s="8" t="s">
        <v>36</v>
      </c>
      <c r="E124" s="8" t="s">
        <v>155</v>
      </c>
      <c r="F124" s="8"/>
      <c r="G124" s="39">
        <f aca="true" t="shared" si="10" ref="G124:G137">H124-I124</f>
        <v>2.3000000000000114</v>
      </c>
      <c r="H124" s="26">
        <f>H125</f>
        <v>162.109</v>
      </c>
      <c r="I124" s="26">
        <f>I125</f>
        <v>159.809</v>
      </c>
      <c r="J124" s="97"/>
    </row>
    <row r="125" spans="1:10" s="5" customFormat="1" ht="46.5" customHeight="1">
      <c r="A125" s="45" t="s">
        <v>87</v>
      </c>
      <c r="B125" s="8" t="s">
        <v>57</v>
      </c>
      <c r="C125" s="8" t="s">
        <v>22</v>
      </c>
      <c r="D125" s="8" t="s">
        <v>36</v>
      </c>
      <c r="E125" s="8" t="s">
        <v>155</v>
      </c>
      <c r="F125" s="8" t="s">
        <v>86</v>
      </c>
      <c r="G125" s="39">
        <f t="shared" si="10"/>
        <v>2.3000000000000114</v>
      </c>
      <c r="H125" s="26">
        <f>30+100.809+22+7+2.3</f>
        <v>162.109</v>
      </c>
      <c r="I125" s="92">
        <v>159.809</v>
      </c>
      <c r="J125" s="98"/>
    </row>
    <row r="126" spans="1:10" s="5" customFormat="1" ht="30.75" customHeight="1" hidden="1">
      <c r="A126" s="127" t="s">
        <v>213</v>
      </c>
      <c r="B126" s="8" t="s">
        <v>57</v>
      </c>
      <c r="C126" s="8" t="s">
        <v>22</v>
      </c>
      <c r="D126" s="8" t="s">
        <v>36</v>
      </c>
      <c r="E126" s="8" t="s">
        <v>214</v>
      </c>
      <c r="F126" s="8"/>
      <c r="G126" s="39">
        <f t="shared" si="10"/>
        <v>0</v>
      </c>
      <c r="H126" s="26">
        <f>H128+H127</f>
        <v>0</v>
      </c>
      <c r="I126" s="26">
        <f>I128+I127</f>
        <v>0</v>
      </c>
      <c r="J126" s="98"/>
    </row>
    <row r="127" spans="1:10" s="5" customFormat="1" ht="30" hidden="1">
      <c r="A127" s="44" t="s">
        <v>219</v>
      </c>
      <c r="B127" s="8" t="s">
        <v>57</v>
      </c>
      <c r="C127" s="8" t="s">
        <v>22</v>
      </c>
      <c r="D127" s="8" t="s">
        <v>36</v>
      </c>
      <c r="E127" s="8" t="s">
        <v>214</v>
      </c>
      <c r="F127" s="8" t="s">
        <v>218</v>
      </c>
      <c r="G127" s="39">
        <f t="shared" si="10"/>
        <v>0</v>
      </c>
      <c r="H127" s="26"/>
      <c r="I127" s="92"/>
      <c r="J127" s="98"/>
    </row>
    <row r="128" spans="1:10" s="5" customFormat="1" ht="46.5" customHeight="1" hidden="1">
      <c r="A128" s="45" t="s">
        <v>87</v>
      </c>
      <c r="B128" s="8" t="s">
        <v>57</v>
      </c>
      <c r="C128" s="8" t="s">
        <v>22</v>
      </c>
      <c r="D128" s="8" t="s">
        <v>36</v>
      </c>
      <c r="E128" s="8" t="s">
        <v>214</v>
      </c>
      <c r="F128" s="8" t="s">
        <v>86</v>
      </c>
      <c r="G128" s="39">
        <f t="shared" si="10"/>
        <v>0</v>
      </c>
      <c r="H128" s="26"/>
      <c r="I128" s="92"/>
      <c r="J128" s="98"/>
    </row>
    <row r="129" spans="1:10" s="5" customFormat="1" ht="88.5" customHeight="1">
      <c r="A129" s="127" t="s">
        <v>286</v>
      </c>
      <c r="B129" s="8" t="s">
        <v>57</v>
      </c>
      <c r="C129" s="8" t="s">
        <v>22</v>
      </c>
      <c r="D129" s="8" t="s">
        <v>36</v>
      </c>
      <c r="E129" s="8" t="s">
        <v>156</v>
      </c>
      <c r="F129" s="8"/>
      <c r="G129" s="39">
        <f t="shared" si="10"/>
        <v>0</v>
      </c>
      <c r="H129" s="26">
        <f>H130+H133+H131+H132</f>
        <v>1851.2</v>
      </c>
      <c r="I129" s="26">
        <f>I130+I133+I131+I132</f>
        <v>1851.2</v>
      </c>
      <c r="J129" s="98"/>
    </row>
    <row r="130" spans="1:10" s="5" customFormat="1" ht="30.75" customHeight="1">
      <c r="A130" s="44" t="s">
        <v>130</v>
      </c>
      <c r="B130" s="8" t="s">
        <v>57</v>
      </c>
      <c r="C130" s="8" t="s">
        <v>22</v>
      </c>
      <c r="D130" s="8" t="s">
        <v>36</v>
      </c>
      <c r="E130" s="8" t="s">
        <v>156</v>
      </c>
      <c r="F130" s="8" t="s">
        <v>89</v>
      </c>
      <c r="G130" s="39">
        <f t="shared" si="10"/>
        <v>0</v>
      </c>
      <c r="H130" s="26">
        <v>1262.7</v>
      </c>
      <c r="I130" s="92">
        <v>1262.7</v>
      </c>
      <c r="J130" s="98"/>
    </row>
    <row r="131" spans="1:10" s="5" customFormat="1" ht="46.5" customHeight="1" hidden="1">
      <c r="A131" s="44" t="s">
        <v>102</v>
      </c>
      <c r="B131" s="8" t="s">
        <v>57</v>
      </c>
      <c r="C131" s="8" t="s">
        <v>22</v>
      </c>
      <c r="D131" s="8" t="s">
        <v>36</v>
      </c>
      <c r="E131" s="8" t="s">
        <v>156</v>
      </c>
      <c r="F131" s="8" t="s">
        <v>101</v>
      </c>
      <c r="G131" s="39">
        <f t="shared" si="10"/>
        <v>0</v>
      </c>
      <c r="H131" s="26"/>
      <c r="I131" s="92"/>
      <c r="J131" s="98"/>
    </row>
    <row r="132" spans="1:10" s="5" customFormat="1" ht="46.5" customHeight="1">
      <c r="A132" s="44" t="s">
        <v>132</v>
      </c>
      <c r="B132" s="8" t="s">
        <v>57</v>
      </c>
      <c r="C132" s="8" t="s">
        <v>22</v>
      </c>
      <c r="D132" s="8" t="s">
        <v>36</v>
      </c>
      <c r="E132" s="8" t="s">
        <v>156</v>
      </c>
      <c r="F132" s="8" t="s">
        <v>131</v>
      </c>
      <c r="G132" s="39">
        <f t="shared" si="10"/>
        <v>0</v>
      </c>
      <c r="H132" s="26">
        <v>382.7</v>
      </c>
      <c r="I132" s="92">
        <v>382.7</v>
      </c>
      <c r="J132" s="98"/>
    </row>
    <row r="133" spans="1:10" s="5" customFormat="1" ht="46.5" customHeight="1">
      <c r="A133" s="45" t="s">
        <v>87</v>
      </c>
      <c r="B133" s="8" t="s">
        <v>57</v>
      </c>
      <c r="C133" s="8" t="s">
        <v>22</v>
      </c>
      <c r="D133" s="8" t="s">
        <v>36</v>
      </c>
      <c r="E133" s="8" t="s">
        <v>156</v>
      </c>
      <c r="F133" s="63" t="s">
        <v>86</v>
      </c>
      <c r="G133" s="39">
        <f t="shared" si="10"/>
        <v>0</v>
      </c>
      <c r="H133" s="26">
        <v>205.8</v>
      </c>
      <c r="I133" s="92">
        <v>205.8</v>
      </c>
      <c r="J133" s="98"/>
    </row>
    <row r="134" spans="1:10" s="5" customFormat="1" ht="75">
      <c r="A134" s="45" t="s">
        <v>275</v>
      </c>
      <c r="B134" s="8" t="s">
        <v>57</v>
      </c>
      <c r="C134" s="8" t="s">
        <v>22</v>
      </c>
      <c r="D134" s="8" t="s">
        <v>36</v>
      </c>
      <c r="E134" s="8" t="s">
        <v>191</v>
      </c>
      <c r="F134" s="8"/>
      <c r="G134" s="39">
        <f t="shared" si="10"/>
        <v>6.6</v>
      </c>
      <c r="H134" s="26">
        <f>H135</f>
        <v>6.6</v>
      </c>
      <c r="I134" s="26">
        <f>I135</f>
        <v>0</v>
      </c>
      <c r="J134" s="98"/>
    </row>
    <row r="135" spans="1:10" s="5" customFormat="1" ht="15">
      <c r="A135" s="45" t="s">
        <v>16</v>
      </c>
      <c r="B135" s="8" t="s">
        <v>57</v>
      </c>
      <c r="C135" s="8" t="s">
        <v>22</v>
      </c>
      <c r="D135" s="8" t="s">
        <v>36</v>
      </c>
      <c r="E135" s="8" t="s">
        <v>191</v>
      </c>
      <c r="F135" s="8" t="s">
        <v>86</v>
      </c>
      <c r="G135" s="39">
        <f t="shared" si="10"/>
        <v>6.6</v>
      </c>
      <c r="H135" s="26">
        <v>6.6</v>
      </c>
      <c r="I135" s="92"/>
      <c r="J135" s="98"/>
    </row>
    <row r="136" spans="1:10" s="5" customFormat="1" ht="33.75" customHeight="1">
      <c r="A136" s="45" t="s">
        <v>287</v>
      </c>
      <c r="B136" s="8" t="s">
        <v>57</v>
      </c>
      <c r="C136" s="8" t="s">
        <v>22</v>
      </c>
      <c r="D136" s="8" t="s">
        <v>36</v>
      </c>
      <c r="E136" s="8" t="s">
        <v>345</v>
      </c>
      <c r="F136" s="8"/>
      <c r="G136" s="39">
        <f t="shared" si="10"/>
        <v>0</v>
      </c>
      <c r="H136" s="26">
        <f>H137</f>
        <v>9809</v>
      </c>
      <c r="I136" s="26">
        <f>I137</f>
        <v>9809</v>
      </c>
      <c r="J136" s="98"/>
    </row>
    <row r="137" spans="1:10" s="5" customFormat="1" ht="15">
      <c r="A137" s="45" t="s">
        <v>16</v>
      </c>
      <c r="B137" s="8" t="s">
        <v>57</v>
      </c>
      <c r="C137" s="8" t="s">
        <v>22</v>
      </c>
      <c r="D137" s="8" t="s">
        <v>36</v>
      </c>
      <c r="E137" s="8" t="s">
        <v>345</v>
      </c>
      <c r="F137" s="8" t="s">
        <v>96</v>
      </c>
      <c r="G137" s="39">
        <f t="shared" si="10"/>
        <v>0</v>
      </c>
      <c r="H137" s="26">
        <f>12038-2229</f>
        <v>9809</v>
      </c>
      <c r="I137" s="92">
        <v>9809</v>
      </c>
      <c r="J137" s="98"/>
    </row>
    <row r="138" spans="1:10" s="5" customFormat="1" ht="30">
      <c r="A138" s="45" t="s">
        <v>128</v>
      </c>
      <c r="B138" s="8" t="s">
        <v>57</v>
      </c>
      <c r="C138" s="8" t="s">
        <v>22</v>
      </c>
      <c r="D138" s="8" t="s">
        <v>36</v>
      </c>
      <c r="E138" s="8" t="s">
        <v>157</v>
      </c>
      <c r="F138" s="8"/>
      <c r="G138" s="39">
        <f aca="true" t="shared" si="11" ref="G138:G144">H138-I138</f>
        <v>3.3000000000000256</v>
      </c>
      <c r="H138" s="26">
        <f>H139+H143+H142+H140+H141</f>
        <v>130.54000000000002</v>
      </c>
      <c r="I138" s="26">
        <f>I139+I143+I142+I140+I141</f>
        <v>127.24</v>
      </c>
      <c r="J138" s="97"/>
    </row>
    <row r="139" spans="1:10" s="5" customFormat="1" ht="45">
      <c r="A139" s="45" t="s">
        <v>87</v>
      </c>
      <c r="B139" s="8" t="s">
        <v>57</v>
      </c>
      <c r="C139" s="8" t="s">
        <v>22</v>
      </c>
      <c r="D139" s="8" t="s">
        <v>36</v>
      </c>
      <c r="E139" s="8" t="s">
        <v>157</v>
      </c>
      <c r="F139" s="8" t="s">
        <v>86</v>
      </c>
      <c r="G139" s="39">
        <f t="shared" si="11"/>
        <v>3.3000000000000114</v>
      </c>
      <c r="H139" s="26">
        <f>48.24+30+30+3.3</f>
        <v>111.54</v>
      </c>
      <c r="I139" s="92">
        <v>108.24</v>
      </c>
      <c r="J139" s="98"/>
    </row>
    <row r="140" spans="1:10" s="5" customFormat="1" ht="45" hidden="1">
      <c r="A140" s="44" t="s">
        <v>119</v>
      </c>
      <c r="B140" s="8" t="s">
        <v>57</v>
      </c>
      <c r="C140" s="8" t="s">
        <v>22</v>
      </c>
      <c r="D140" s="8" t="s">
        <v>36</v>
      </c>
      <c r="E140" s="8" t="s">
        <v>157</v>
      </c>
      <c r="F140" s="8" t="s">
        <v>118</v>
      </c>
      <c r="G140" s="39">
        <f t="shared" si="11"/>
        <v>0</v>
      </c>
      <c r="H140" s="26"/>
      <c r="I140" s="92"/>
      <c r="J140" s="98"/>
    </row>
    <row r="141" spans="1:10" s="5" customFormat="1" ht="15">
      <c r="A141" s="44" t="s">
        <v>246</v>
      </c>
      <c r="B141" s="8" t="s">
        <v>57</v>
      </c>
      <c r="C141" s="8" t="s">
        <v>22</v>
      </c>
      <c r="D141" s="8" t="s">
        <v>36</v>
      </c>
      <c r="E141" s="8" t="s">
        <v>157</v>
      </c>
      <c r="F141" s="8" t="s">
        <v>245</v>
      </c>
      <c r="G141" s="39">
        <f t="shared" si="11"/>
        <v>0</v>
      </c>
      <c r="H141" s="26">
        <v>17</v>
      </c>
      <c r="I141" s="92">
        <v>17</v>
      </c>
      <c r="J141" s="98"/>
    </row>
    <row r="142" spans="1:10" s="5" customFormat="1" ht="45">
      <c r="A142" s="66" t="s">
        <v>244</v>
      </c>
      <c r="B142" s="8" t="s">
        <v>57</v>
      </c>
      <c r="C142" s="8" t="s">
        <v>22</v>
      </c>
      <c r="D142" s="8" t="s">
        <v>36</v>
      </c>
      <c r="E142" s="8" t="s">
        <v>157</v>
      </c>
      <c r="F142" s="8" t="s">
        <v>98</v>
      </c>
      <c r="G142" s="39">
        <f t="shared" si="11"/>
        <v>0</v>
      </c>
      <c r="H142" s="26">
        <v>2</v>
      </c>
      <c r="I142" s="92">
        <v>2</v>
      </c>
      <c r="J142" s="98"/>
    </row>
    <row r="143" spans="1:10" s="5" customFormat="1" ht="15" hidden="1">
      <c r="A143" s="44" t="s">
        <v>109</v>
      </c>
      <c r="B143" s="8" t="s">
        <v>57</v>
      </c>
      <c r="C143" s="8" t="s">
        <v>22</v>
      </c>
      <c r="D143" s="8" t="s">
        <v>36</v>
      </c>
      <c r="E143" s="8" t="s">
        <v>157</v>
      </c>
      <c r="F143" s="8" t="s">
        <v>107</v>
      </c>
      <c r="G143" s="39">
        <f t="shared" si="11"/>
        <v>0</v>
      </c>
      <c r="H143" s="26"/>
      <c r="I143" s="92"/>
      <c r="J143" s="98"/>
    </row>
    <row r="144" spans="1:10" s="9" customFormat="1" ht="28.5">
      <c r="A144" s="36" t="s">
        <v>38</v>
      </c>
      <c r="B144" s="7" t="s">
        <v>57</v>
      </c>
      <c r="C144" s="7" t="s">
        <v>23</v>
      </c>
      <c r="D144" s="7"/>
      <c r="E144" s="7"/>
      <c r="F144" s="7"/>
      <c r="G144" s="39">
        <f t="shared" si="11"/>
        <v>0</v>
      </c>
      <c r="H144" s="25">
        <f>H145</f>
        <v>10</v>
      </c>
      <c r="I144" s="94">
        <f>I145</f>
        <v>10</v>
      </c>
      <c r="J144" s="108"/>
    </row>
    <row r="145" spans="1:10" s="9" customFormat="1" ht="45.75" customHeight="1">
      <c r="A145" s="36" t="s">
        <v>14</v>
      </c>
      <c r="B145" s="7" t="s">
        <v>57</v>
      </c>
      <c r="C145" s="7" t="s">
        <v>23</v>
      </c>
      <c r="D145" s="7" t="s">
        <v>30</v>
      </c>
      <c r="E145" s="7"/>
      <c r="F145" s="7"/>
      <c r="G145" s="39">
        <f aca="true" t="shared" si="12" ref="G145:G150">H145-I145</f>
        <v>0</v>
      </c>
      <c r="H145" s="25">
        <f>H146</f>
        <v>10</v>
      </c>
      <c r="I145" s="25">
        <f>I146</f>
        <v>10</v>
      </c>
      <c r="J145" s="108"/>
    </row>
    <row r="146" spans="1:10" s="9" customFormat="1" ht="28.5" customHeight="1">
      <c r="A146" s="80" t="s">
        <v>92</v>
      </c>
      <c r="B146" s="18" t="s">
        <v>57</v>
      </c>
      <c r="C146" s="8" t="s">
        <v>23</v>
      </c>
      <c r="D146" s="8" t="s">
        <v>30</v>
      </c>
      <c r="E146" s="8" t="s">
        <v>140</v>
      </c>
      <c r="F146" s="8"/>
      <c r="G146" s="39">
        <f t="shared" si="12"/>
        <v>0</v>
      </c>
      <c r="H146" s="26">
        <f>H147+H149</f>
        <v>10</v>
      </c>
      <c r="I146" s="26">
        <f>I147+I149</f>
        <v>10</v>
      </c>
      <c r="J146" s="97"/>
    </row>
    <row r="147" spans="1:10" s="9" customFormat="1" ht="46.5" customHeight="1">
      <c r="A147" s="45" t="s">
        <v>62</v>
      </c>
      <c r="B147" s="18" t="s">
        <v>57</v>
      </c>
      <c r="C147" s="8" t="s">
        <v>23</v>
      </c>
      <c r="D147" s="8" t="s">
        <v>30</v>
      </c>
      <c r="E147" s="8" t="s">
        <v>158</v>
      </c>
      <c r="F147" s="8"/>
      <c r="G147" s="39">
        <f t="shared" si="12"/>
        <v>0</v>
      </c>
      <c r="H147" s="26">
        <f>H148</f>
        <v>10</v>
      </c>
      <c r="I147" s="92">
        <f>I148</f>
        <v>10</v>
      </c>
      <c r="J147" s="97"/>
    </row>
    <row r="148" spans="1:10" s="9" customFormat="1" ht="42.75" customHeight="1">
      <c r="A148" s="45" t="s">
        <v>87</v>
      </c>
      <c r="B148" s="18" t="s">
        <v>57</v>
      </c>
      <c r="C148" s="8" t="s">
        <v>23</v>
      </c>
      <c r="D148" s="8" t="s">
        <v>30</v>
      </c>
      <c r="E148" s="8" t="s">
        <v>158</v>
      </c>
      <c r="F148" s="8" t="s">
        <v>86</v>
      </c>
      <c r="G148" s="39">
        <f t="shared" si="12"/>
        <v>0</v>
      </c>
      <c r="H148" s="26">
        <v>10</v>
      </c>
      <c r="I148" s="92">
        <v>10</v>
      </c>
      <c r="J148" s="98"/>
    </row>
    <row r="149" spans="1:10" s="9" customFormat="1" ht="33.75" customHeight="1" hidden="1">
      <c r="A149" s="45" t="s">
        <v>83</v>
      </c>
      <c r="B149" s="18" t="s">
        <v>57</v>
      </c>
      <c r="C149" s="8" t="s">
        <v>23</v>
      </c>
      <c r="D149" s="8" t="s">
        <v>30</v>
      </c>
      <c r="E149" s="8" t="s">
        <v>159</v>
      </c>
      <c r="F149" s="8"/>
      <c r="G149" s="39">
        <f t="shared" si="12"/>
        <v>0</v>
      </c>
      <c r="H149" s="26">
        <f>H150</f>
        <v>0</v>
      </c>
      <c r="I149" s="26">
        <f>I150</f>
        <v>0</v>
      </c>
      <c r="J149" s="98"/>
    </row>
    <row r="150" spans="1:10" s="9" customFormat="1" ht="42.75" customHeight="1" hidden="1">
      <c r="A150" s="45" t="s">
        <v>87</v>
      </c>
      <c r="B150" s="18" t="s">
        <v>57</v>
      </c>
      <c r="C150" s="8" t="s">
        <v>23</v>
      </c>
      <c r="D150" s="8" t="s">
        <v>30</v>
      </c>
      <c r="E150" s="8" t="s">
        <v>159</v>
      </c>
      <c r="F150" s="8" t="s">
        <v>86</v>
      </c>
      <c r="G150" s="39">
        <f t="shared" si="12"/>
        <v>0</v>
      </c>
      <c r="H150" s="26"/>
      <c r="I150" s="92"/>
      <c r="J150" s="98"/>
    </row>
    <row r="151" spans="1:10" s="9" customFormat="1" ht="15.75" customHeight="1">
      <c r="A151" s="36" t="s">
        <v>39</v>
      </c>
      <c r="B151" s="7" t="s">
        <v>57</v>
      </c>
      <c r="C151" s="7" t="s">
        <v>24</v>
      </c>
      <c r="D151" s="7"/>
      <c r="E151" s="7"/>
      <c r="F151" s="7"/>
      <c r="G151" s="39">
        <f aca="true" t="shared" si="13" ref="G151:G157">H151-I151</f>
        <v>10.86700000000019</v>
      </c>
      <c r="H151" s="25">
        <f>H168+H158+H152</f>
        <v>5579.805</v>
      </c>
      <c r="I151" s="25">
        <f>I168+I158+I152</f>
        <v>5568.938</v>
      </c>
      <c r="J151" s="108"/>
    </row>
    <row r="152" spans="1:10" s="9" customFormat="1" ht="14.25" hidden="1">
      <c r="A152" s="36" t="s">
        <v>112</v>
      </c>
      <c r="B152" s="7" t="s">
        <v>57</v>
      </c>
      <c r="C152" s="7" t="s">
        <v>24</v>
      </c>
      <c r="D152" s="7" t="s">
        <v>43</v>
      </c>
      <c r="E152" s="7"/>
      <c r="F152" s="7"/>
      <c r="G152" s="39">
        <f t="shared" si="13"/>
        <v>0</v>
      </c>
      <c r="H152" s="25">
        <f>H153</f>
        <v>0</v>
      </c>
      <c r="I152" s="25">
        <f>I153</f>
        <v>0</v>
      </c>
      <c r="J152" s="100"/>
    </row>
    <row r="153" spans="1:10" s="9" customFormat="1" ht="30" hidden="1">
      <c r="A153" s="80" t="s">
        <v>92</v>
      </c>
      <c r="B153" s="18" t="s">
        <v>57</v>
      </c>
      <c r="C153" s="18" t="s">
        <v>24</v>
      </c>
      <c r="D153" s="18" t="s">
        <v>43</v>
      </c>
      <c r="E153" s="18" t="s">
        <v>140</v>
      </c>
      <c r="F153" s="18"/>
      <c r="G153" s="39">
        <f t="shared" si="13"/>
        <v>0</v>
      </c>
      <c r="H153" s="27">
        <f>H154+H156</f>
        <v>0</v>
      </c>
      <c r="I153" s="95">
        <f>I154+I156</f>
        <v>0</v>
      </c>
      <c r="J153" s="100"/>
    </row>
    <row r="154" spans="1:10" s="9" customFormat="1" ht="64.5" customHeight="1" hidden="1">
      <c r="A154" s="45" t="s">
        <v>288</v>
      </c>
      <c r="B154" s="18" t="s">
        <v>57</v>
      </c>
      <c r="C154" s="18" t="s">
        <v>24</v>
      </c>
      <c r="D154" s="18" t="s">
        <v>43</v>
      </c>
      <c r="E154" s="18" t="s">
        <v>160</v>
      </c>
      <c r="F154" s="18"/>
      <c r="G154" s="39">
        <f t="shared" si="13"/>
        <v>0</v>
      </c>
      <c r="H154" s="27">
        <f>H155</f>
        <v>0</v>
      </c>
      <c r="I154" s="95">
        <f>I155</f>
        <v>0</v>
      </c>
      <c r="J154" s="100"/>
    </row>
    <row r="155" spans="1:10" s="9" customFormat="1" ht="45" hidden="1">
      <c r="A155" s="45" t="s">
        <v>87</v>
      </c>
      <c r="B155" s="18" t="s">
        <v>57</v>
      </c>
      <c r="C155" s="18" t="s">
        <v>24</v>
      </c>
      <c r="D155" s="18" t="s">
        <v>43</v>
      </c>
      <c r="E155" s="18" t="s">
        <v>160</v>
      </c>
      <c r="F155" s="18" t="s">
        <v>86</v>
      </c>
      <c r="G155" s="39">
        <f t="shared" si="13"/>
        <v>0</v>
      </c>
      <c r="H155" s="27"/>
      <c r="I155" s="95"/>
      <c r="J155" s="100"/>
    </row>
    <row r="156" spans="1:10" s="9" customFormat="1" ht="75" hidden="1">
      <c r="A156" s="45" t="s">
        <v>113</v>
      </c>
      <c r="B156" s="18" t="s">
        <v>57</v>
      </c>
      <c r="C156" s="18" t="s">
        <v>24</v>
      </c>
      <c r="D156" s="18" t="s">
        <v>43</v>
      </c>
      <c r="E156" s="18" t="s">
        <v>161</v>
      </c>
      <c r="F156" s="18"/>
      <c r="G156" s="39">
        <f t="shared" si="13"/>
        <v>0</v>
      </c>
      <c r="H156" s="27">
        <f>H157</f>
        <v>0</v>
      </c>
      <c r="I156" s="95">
        <f>I157</f>
        <v>0</v>
      </c>
      <c r="J156" s="100"/>
    </row>
    <row r="157" spans="1:10" s="9" customFormat="1" ht="45" hidden="1">
      <c r="A157" s="45" t="s">
        <v>87</v>
      </c>
      <c r="B157" s="18" t="s">
        <v>57</v>
      </c>
      <c r="C157" s="18" t="s">
        <v>24</v>
      </c>
      <c r="D157" s="18" t="s">
        <v>43</v>
      </c>
      <c r="E157" s="18" t="s">
        <v>161</v>
      </c>
      <c r="F157" s="18" t="s">
        <v>86</v>
      </c>
      <c r="G157" s="39">
        <f t="shared" si="13"/>
        <v>0</v>
      </c>
      <c r="H157" s="27"/>
      <c r="I157" s="95">
        <v>0</v>
      </c>
      <c r="J157" s="100"/>
    </row>
    <row r="158" spans="1:10" s="9" customFormat="1" ht="14.25">
      <c r="A158" s="36" t="s">
        <v>61</v>
      </c>
      <c r="B158" s="7" t="s">
        <v>57</v>
      </c>
      <c r="C158" s="7" t="s">
        <v>24</v>
      </c>
      <c r="D158" s="7" t="s">
        <v>30</v>
      </c>
      <c r="E158" s="7"/>
      <c r="F158" s="7"/>
      <c r="G158" s="39">
        <f aca="true" t="shared" si="14" ref="G158:G173">H158-I158</f>
        <v>0</v>
      </c>
      <c r="H158" s="94">
        <f>H159+H162</f>
        <v>5358.1</v>
      </c>
      <c r="I158" s="94">
        <f>I159+I162</f>
        <v>5358.1</v>
      </c>
      <c r="J158" s="108"/>
    </row>
    <row r="159" spans="1:10" s="5" customFormat="1" ht="57">
      <c r="A159" s="138" t="s">
        <v>327</v>
      </c>
      <c r="B159" s="18" t="s">
        <v>57</v>
      </c>
      <c r="C159" s="18" t="s">
        <v>24</v>
      </c>
      <c r="D159" s="23" t="s">
        <v>30</v>
      </c>
      <c r="E159" s="14" t="s">
        <v>162</v>
      </c>
      <c r="F159" s="14"/>
      <c r="G159" s="39">
        <f t="shared" si="14"/>
        <v>0</v>
      </c>
      <c r="H159" s="26">
        <f>H160</f>
        <v>905.7709999999998</v>
      </c>
      <c r="I159" s="26">
        <f>I160</f>
        <v>905.771</v>
      </c>
      <c r="J159" s="97"/>
    </row>
    <row r="160" spans="1:10" s="5" customFormat="1" ht="29.25" customHeight="1">
      <c r="A160" s="44" t="s">
        <v>117</v>
      </c>
      <c r="B160" s="18" t="s">
        <v>57</v>
      </c>
      <c r="C160" s="18" t="s">
        <v>24</v>
      </c>
      <c r="D160" s="23" t="s">
        <v>30</v>
      </c>
      <c r="E160" s="14" t="s">
        <v>163</v>
      </c>
      <c r="F160" s="14"/>
      <c r="G160" s="39">
        <f t="shared" si="14"/>
        <v>0</v>
      </c>
      <c r="H160" s="26">
        <f>H161</f>
        <v>905.7709999999998</v>
      </c>
      <c r="I160" s="26">
        <f>I161</f>
        <v>905.771</v>
      </c>
      <c r="J160" s="97"/>
    </row>
    <row r="161" spans="1:10" s="5" customFormat="1" ht="45">
      <c r="A161" s="45" t="s">
        <v>87</v>
      </c>
      <c r="B161" s="18" t="s">
        <v>57</v>
      </c>
      <c r="C161" s="18" t="s">
        <v>24</v>
      </c>
      <c r="D161" s="23" t="s">
        <v>30</v>
      </c>
      <c r="E161" s="14" t="s">
        <v>163</v>
      </c>
      <c r="F161" s="14" t="s">
        <v>86</v>
      </c>
      <c r="G161" s="39">
        <f t="shared" si="14"/>
        <v>0</v>
      </c>
      <c r="H161" s="26">
        <f>578.5+22.3+233.5+0.3-2.229+73.4</f>
        <v>905.7709999999998</v>
      </c>
      <c r="I161" s="92">
        <v>905.771</v>
      </c>
      <c r="J161" s="98"/>
    </row>
    <row r="162" spans="1:10" s="5" customFormat="1" ht="30">
      <c r="A162" s="80" t="s">
        <v>92</v>
      </c>
      <c r="B162" s="18" t="s">
        <v>57</v>
      </c>
      <c r="C162" s="8" t="s">
        <v>24</v>
      </c>
      <c r="D162" s="8" t="s">
        <v>30</v>
      </c>
      <c r="E162" s="8" t="s">
        <v>140</v>
      </c>
      <c r="F162" s="14"/>
      <c r="G162" s="39">
        <f t="shared" si="14"/>
        <v>0</v>
      </c>
      <c r="H162" s="26">
        <f>H165+H163</f>
        <v>4452.329000000001</v>
      </c>
      <c r="I162" s="26">
        <f>I165+I163</f>
        <v>4452.329000000001</v>
      </c>
      <c r="J162" s="98"/>
    </row>
    <row r="163" spans="1:10" s="5" customFormat="1" ht="75">
      <c r="A163" s="45" t="s">
        <v>275</v>
      </c>
      <c r="B163" s="8" t="s">
        <v>57</v>
      </c>
      <c r="C163" s="8" t="s">
        <v>24</v>
      </c>
      <c r="D163" s="8" t="s">
        <v>30</v>
      </c>
      <c r="E163" s="8" t="s">
        <v>191</v>
      </c>
      <c r="F163" s="8"/>
      <c r="G163" s="39">
        <f t="shared" si="14"/>
        <v>0</v>
      </c>
      <c r="H163" s="26">
        <f>H164</f>
        <v>2.3</v>
      </c>
      <c r="I163" s="26">
        <f>I164</f>
        <v>2.3</v>
      </c>
      <c r="J163" s="98"/>
    </row>
    <row r="164" spans="1:10" s="5" customFormat="1" ht="45">
      <c r="A164" s="45" t="s">
        <v>87</v>
      </c>
      <c r="B164" s="8" t="s">
        <v>57</v>
      </c>
      <c r="C164" s="8" t="s">
        <v>24</v>
      </c>
      <c r="D164" s="8" t="s">
        <v>30</v>
      </c>
      <c r="E164" s="8" t="s">
        <v>191</v>
      </c>
      <c r="F164" s="8" t="s">
        <v>86</v>
      </c>
      <c r="G164" s="39">
        <f t="shared" si="14"/>
        <v>0</v>
      </c>
      <c r="H164" s="26">
        <v>2.3</v>
      </c>
      <c r="I164" s="26">
        <v>2.3</v>
      </c>
      <c r="J164" s="98"/>
    </row>
    <row r="165" spans="1:10" s="5" customFormat="1" ht="75">
      <c r="A165" s="45" t="s">
        <v>391</v>
      </c>
      <c r="B165" s="18" t="s">
        <v>57</v>
      </c>
      <c r="C165" s="18" t="s">
        <v>24</v>
      </c>
      <c r="D165" s="23" t="s">
        <v>30</v>
      </c>
      <c r="E165" s="14" t="s">
        <v>387</v>
      </c>
      <c r="F165" s="14"/>
      <c r="G165" s="39">
        <f t="shared" si="14"/>
        <v>0</v>
      </c>
      <c r="H165" s="26">
        <f>H167+H166</f>
        <v>4450.029</v>
      </c>
      <c r="I165" s="26">
        <f>I167+I166</f>
        <v>4450.029</v>
      </c>
      <c r="J165" s="98"/>
    </row>
    <row r="166" spans="1:10" s="5" customFormat="1" ht="45">
      <c r="A166" s="45" t="s">
        <v>87</v>
      </c>
      <c r="B166" s="18" t="s">
        <v>57</v>
      </c>
      <c r="C166" s="18" t="s">
        <v>24</v>
      </c>
      <c r="D166" s="23" t="s">
        <v>30</v>
      </c>
      <c r="E166" s="14" t="s">
        <v>387</v>
      </c>
      <c r="F166" s="14" t="s">
        <v>86</v>
      </c>
      <c r="G166" s="39">
        <f t="shared" si="14"/>
        <v>0</v>
      </c>
      <c r="H166" s="26">
        <f>2218.8</f>
        <v>2218.8</v>
      </c>
      <c r="I166" s="92">
        <v>2218.8</v>
      </c>
      <c r="J166" s="98"/>
    </row>
    <row r="167" spans="1:10" s="5" customFormat="1" ht="15">
      <c r="A167" s="45" t="s">
        <v>16</v>
      </c>
      <c r="B167" s="18" t="s">
        <v>57</v>
      </c>
      <c r="C167" s="18" t="s">
        <v>24</v>
      </c>
      <c r="D167" s="23" t="s">
        <v>30</v>
      </c>
      <c r="E167" s="14" t="s">
        <v>387</v>
      </c>
      <c r="F167" s="14" t="s">
        <v>96</v>
      </c>
      <c r="G167" s="39">
        <f t="shared" si="14"/>
        <v>0</v>
      </c>
      <c r="H167" s="26">
        <f>2229+2.229</f>
        <v>2231.229</v>
      </c>
      <c r="I167" s="92">
        <v>2231.229</v>
      </c>
      <c r="J167" s="98"/>
    </row>
    <row r="168" spans="1:10" s="9" customFormat="1" ht="28.5">
      <c r="A168" s="36" t="s">
        <v>41</v>
      </c>
      <c r="B168" s="7" t="s">
        <v>57</v>
      </c>
      <c r="C168" s="7" t="s">
        <v>24</v>
      </c>
      <c r="D168" s="7" t="s">
        <v>51</v>
      </c>
      <c r="E168" s="7"/>
      <c r="F168" s="7"/>
      <c r="G168" s="39">
        <f t="shared" si="14"/>
        <v>10.867000000000047</v>
      </c>
      <c r="H168" s="25">
        <f aca="true" t="shared" si="15" ref="H168:I170">H169</f>
        <v>221.70500000000004</v>
      </c>
      <c r="I168" s="25">
        <f t="shared" si="15"/>
        <v>210.838</v>
      </c>
      <c r="J168" s="108"/>
    </row>
    <row r="169" spans="1:10" s="5" customFormat="1" ht="30">
      <c r="A169" s="80" t="s">
        <v>92</v>
      </c>
      <c r="B169" s="8" t="s">
        <v>57</v>
      </c>
      <c r="C169" s="8" t="s">
        <v>24</v>
      </c>
      <c r="D169" s="8" t="s">
        <v>51</v>
      </c>
      <c r="E169" s="8" t="s">
        <v>140</v>
      </c>
      <c r="F169" s="8"/>
      <c r="G169" s="39">
        <f t="shared" si="14"/>
        <v>10.867000000000047</v>
      </c>
      <c r="H169" s="26">
        <f>H170+H172</f>
        <v>221.70500000000004</v>
      </c>
      <c r="I169" s="26">
        <f>I170+I172</f>
        <v>210.838</v>
      </c>
      <c r="J169" s="97"/>
    </row>
    <row r="170" spans="1:10" s="5" customFormat="1" ht="29.25" customHeight="1">
      <c r="A170" s="45" t="s">
        <v>42</v>
      </c>
      <c r="B170" s="8" t="s">
        <v>57</v>
      </c>
      <c r="C170" s="8" t="s">
        <v>24</v>
      </c>
      <c r="D170" s="8" t="s">
        <v>51</v>
      </c>
      <c r="E170" s="8" t="s">
        <v>164</v>
      </c>
      <c r="F170" s="8"/>
      <c r="G170" s="39">
        <f t="shared" si="14"/>
        <v>10.867000000000033</v>
      </c>
      <c r="H170" s="26">
        <f t="shared" si="15"/>
        <v>121.70500000000003</v>
      </c>
      <c r="I170" s="92">
        <f t="shared" si="15"/>
        <v>110.838</v>
      </c>
      <c r="J170" s="97"/>
    </row>
    <row r="171" spans="1:10" s="5" customFormat="1" ht="45">
      <c r="A171" s="45" t="s">
        <v>87</v>
      </c>
      <c r="B171" s="8" t="s">
        <v>57</v>
      </c>
      <c r="C171" s="8" t="s">
        <v>24</v>
      </c>
      <c r="D171" s="8" t="s">
        <v>51</v>
      </c>
      <c r="E171" s="8" t="s">
        <v>164</v>
      </c>
      <c r="F171" s="8" t="s">
        <v>86</v>
      </c>
      <c r="G171" s="39">
        <f t="shared" si="14"/>
        <v>10.867000000000033</v>
      </c>
      <c r="H171" s="26">
        <f>100+154.8-143.962+10.867</f>
        <v>121.70500000000003</v>
      </c>
      <c r="I171" s="92">
        <v>110.838</v>
      </c>
      <c r="J171" s="98"/>
    </row>
    <row r="172" spans="1:10" s="5" customFormat="1" ht="75">
      <c r="A172" s="45" t="s">
        <v>275</v>
      </c>
      <c r="B172" s="8" t="s">
        <v>57</v>
      </c>
      <c r="C172" s="8" t="s">
        <v>24</v>
      </c>
      <c r="D172" s="8" t="s">
        <v>51</v>
      </c>
      <c r="E172" s="8" t="s">
        <v>191</v>
      </c>
      <c r="F172" s="8"/>
      <c r="G172" s="39">
        <f t="shared" si="14"/>
        <v>0</v>
      </c>
      <c r="H172" s="26">
        <f>H173</f>
        <v>100</v>
      </c>
      <c r="I172" s="26">
        <f>I173</f>
        <v>100</v>
      </c>
      <c r="J172" s="98"/>
    </row>
    <row r="173" spans="1:10" s="5" customFormat="1" ht="45">
      <c r="A173" s="45" t="s">
        <v>87</v>
      </c>
      <c r="B173" s="8" t="s">
        <v>57</v>
      </c>
      <c r="C173" s="8" t="s">
        <v>24</v>
      </c>
      <c r="D173" s="8" t="s">
        <v>51</v>
      </c>
      <c r="E173" s="8" t="s">
        <v>191</v>
      </c>
      <c r="F173" s="8" t="s">
        <v>86</v>
      </c>
      <c r="G173" s="39">
        <f t="shared" si="14"/>
        <v>0</v>
      </c>
      <c r="H173" s="26">
        <v>100</v>
      </c>
      <c r="I173" s="92">
        <v>100</v>
      </c>
      <c r="J173" s="98"/>
    </row>
    <row r="174" spans="1:10" s="5" customFormat="1" ht="15">
      <c r="A174" s="36" t="s">
        <v>44</v>
      </c>
      <c r="B174" s="7" t="s">
        <v>57</v>
      </c>
      <c r="C174" s="7" t="s">
        <v>43</v>
      </c>
      <c r="D174" s="8"/>
      <c r="E174" s="8"/>
      <c r="F174" s="8"/>
      <c r="G174" s="39">
        <f aca="true" t="shared" si="16" ref="G174:G179">H174-I174</f>
        <v>-734.0299999999952</v>
      </c>
      <c r="H174" s="24">
        <f>H179+H175+H201</f>
        <v>21453.840000000004</v>
      </c>
      <c r="I174" s="24">
        <f>I179+I175+I201</f>
        <v>22187.87</v>
      </c>
      <c r="J174" s="107"/>
    </row>
    <row r="175" spans="1:10" s="16" customFormat="1" ht="15.75">
      <c r="A175" s="152" t="s">
        <v>226</v>
      </c>
      <c r="B175" s="20" t="s">
        <v>57</v>
      </c>
      <c r="C175" s="20" t="s">
        <v>43</v>
      </c>
      <c r="D175" s="20" t="s">
        <v>22</v>
      </c>
      <c r="E175" s="20"/>
      <c r="F175" s="20"/>
      <c r="G175" s="39">
        <f t="shared" si="16"/>
        <v>-9.386</v>
      </c>
      <c r="H175" s="24">
        <f aca="true" t="shared" si="17" ref="H175:I177">H176</f>
        <v>7.614000000000001</v>
      </c>
      <c r="I175" s="24">
        <f t="shared" si="17"/>
        <v>17</v>
      </c>
      <c r="J175" s="107"/>
    </row>
    <row r="176" spans="1:10" s="5" customFormat="1" ht="30">
      <c r="A176" s="80" t="s">
        <v>92</v>
      </c>
      <c r="B176" s="18" t="s">
        <v>57</v>
      </c>
      <c r="C176" s="18" t="s">
        <v>43</v>
      </c>
      <c r="D176" s="8" t="s">
        <v>22</v>
      </c>
      <c r="E176" s="8" t="s">
        <v>140</v>
      </c>
      <c r="F176" s="8"/>
      <c r="G176" s="39">
        <f t="shared" si="16"/>
        <v>-9.386</v>
      </c>
      <c r="H176" s="27">
        <f t="shared" si="17"/>
        <v>7.614000000000001</v>
      </c>
      <c r="I176" s="27">
        <f t="shared" si="17"/>
        <v>17</v>
      </c>
      <c r="J176" s="107"/>
    </row>
    <row r="177" spans="1:10" s="5" customFormat="1" ht="15">
      <c r="A177" s="45" t="s">
        <v>229</v>
      </c>
      <c r="B177" s="18" t="s">
        <v>57</v>
      </c>
      <c r="C177" s="18" t="s">
        <v>43</v>
      </c>
      <c r="D177" s="8" t="s">
        <v>22</v>
      </c>
      <c r="E177" s="8" t="s">
        <v>227</v>
      </c>
      <c r="F177" s="8"/>
      <c r="G177" s="39">
        <f t="shared" si="16"/>
        <v>-9.386</v>
      </c>
      <c r="H177" s="27">
        <f t="shared" si="17"/>
        <v>7.614000000000001</v>
      </c>
      <c r="I177" s="27">
        <f t="shared" si="17"/>
        <v>17</v>
      </c>
      <c r="J177" s="107"/>
    </row>
    <row r="178" spans="1:10" s="5" customFormat="1" ht="45">
      <c r="A178" s="45" t="s">
        <v>380</v>
      </c>
      <c r="B178" s="18" t="s">
        <v>57</v>
      </c>
      <c r="C178" s="18" t="s">
        <v>43</v>
      </c>
      <c r="D178" s="8" t="s">
        <v>22</v>
      </c>
      <c r="E178" s="8" t="s">
        <v>227</v>
      </c>
      <c r="F178" s="8" t="s">
        <v>381</v>
      </c>
      <c r="G178" s="39">
        <f t="shared" si="16"/>
        <v>-9.386</v>
      </c>
      <c r="H178" s="27">
        <f>17-9.386</f>
        <v>7.614000000000001</v>
      </c>
      <c r="I178" s="27">
        <v>17</v>
      </c>
      <c r="J178" s="107"/>
    </row>
    <row r="179" spans="1:10" s="9" customFormat="1" ht="14.25">
      <c r="A179" s="36" t="s">
        <v>59</v>
      </c>
      <c r="B179" s="7" t="s">
        <v>57</v>
      </c>
      <c r="C179" s="7" t="s">
        <v>43</v>
      </c>
      <c r="D179" s="7" t="s">
        <v>27</v>
      </c>
      <c r="E179" s="7"/>
      <c r="F179" s="7"/>
      <c r="G179" s="39">
        <f t="shared" si="16"/>
        <v>-724.6439999999966</v>
      </c>
      <c r="H179" s="25">
        <f>H190+H180</f>
        <v>20130.215000000004</v>
      </c>
      <c r="I179" s="25">
        <f>I190+I180</f>
        <v>20854.859</v>
      </c>
      <c r="J179" s="108"/>
    </row>
    <row r="180" spans="1:10" s="5" customFormat="1" ht="74.25" customHeight="1">
      <c r="A180" s="139" t="s">
        <v>326</v>
      </c>
      <c r="B180" s="8" t="s">
        <v>57</v>
      </c>
      <c r="C180" s="8" t="s">
        <v>43</v>
      </c>
      <c r="D180" s="8" t="s">
        <v>27</v>
      </c>
      <c r="E180" s="8" t="s">
        <v>154</v>
      </c>
      <c r="F180" s="8"/>
      <c r="G180" s="39">
        <f aca="true" t="shared" si="18" ref="G180:G189">H180-I180</f>
        <v>-659.8649999999943</v>
      </c>
      <c r="H180" s="26">
        <f>H181</f>
        <v>17624.258000000005</v>
      </c>
      <c r="I180" s="26">
        <f>I181</f>
        <v>18284.123</v>
      </c>
      <c r="J180" s="97"/>
    </row>
    <row r="181" spans="1:10" s="5" customFormat="1" ht="30">
      <c r="A181" s="37" t="s">
        <v>235</v>
      </c>
      <c r="B181" s="8" t="s">
        <v>57</v>
      </c>
      <c r="C181" s="8" t="s">
        <v>43</v>
      </c>
      <c r="D181" s="8" t="s">
        <v>27</v>
      </c>
      <c r="E181" s="8" t="s">
        <v>211</v>
      </c>
      <c r="F181" s="8"/>
      <c r="G181" s="39">
        <f t="shared" si="18"/>
        <v>-659.8649999999943</v>
      </c>
      <c r="H181" s="26">
        <f>H182+H183+H184+H185+H187+H188+H189+H186</f>
        <v>17624.258000000005</v>
      </c>
      <c r="I181" s="26">
        <f>I182+I183+I184+I185+I187+I188+I189+I186</f>
        <v>18284.123</v>
      </c>
      <c r="J181" s="97"/>
    </row>
    <row r="182" spans="1:10" s="5" customFormat="1" ht="16.5" customHeight="1">
      <c r="A182" s="37" t="s">
        <v>208</v>
      </c>
      <c r="B182" s="8" t="s">
        <v>57</v>
      </c>
      <c r="C182" s="8" t="s">
        <v>43</v>
      </c>
      <c r="D182" s="8" t="s">
        <v>27</v>
      </c>
      <c r="E182" s="8" t="s">
        <v>211</v>
      </c>
      <c r="F182" s="8" t="s">
        <v>93</v>
      </c>
      <c r="G182" s="39">
        <f t="shared" si="18"/>
        <v>0</v>
      </c>
      <c r="H182" s="26">
        <f>6011.4-250</f>
        <v>5761.4</v>
      </c>
      <c r="I182" s="92">
        <v>5761.4</v>
      </c>
      <c r="J182" s="98"/>
    </row>
    <row r="183" spans="1:10" s="5" customFormat="1" ht="36" customHeight="1">
      <c r="A183" s="37" t="s">
        <v>104</v>
      </c>
      <c r="B183" s="8" t="s">
        <v>57</v>
      </c>
      <c r="C183" s="8" t="s">
        <v>43</v>
      </c>
      <c r="D183" s="8" t="s">
        <v>27</v>
      </c>
      <c r="E183" s="8" t="s">
        <v>211</v>
      </c>
      <c r="F183" s="8" t="s">
        <v>103</v>
      </c>
      <c r="G183" s="39">
        <f t="shared" si="18"/>
        <v>0.536</v>
      </c>
      <c r="H183" s="26">
        <f>0.536</f>
        <v>0.536</v>
      </c>
      <c r="I183" s="92"/>
      <c r="J183" s="98"/>
    </row>
    <row r="184" spans="1:10" s="5" customFormat="1" ht="45.75" customHeight="1">
      <c r="A184" s="37" t="s">
        <v>209</v>
      </c>
      <c r="B184" s="8" t="s">
        <v>57</v>
      </c>
      <c r="C184" s="8" t="s">
        <v>43</v>
      </c>
      <c r="D184" s="8" t="s">
        <v>27</v>
      </c>
      <c r="E184" s="8" t="s">
        <v>211</v>
      </c>
      <c r="F184" s="8" t="s">
        <v>133</v>
      </c>
      <c r="G184" s="39">
        <f t="shared" si="18"/>
        <v>0</v>
      </c>
      <c r="H184" s="26">
        <f>2035.5-85</f>
        <v>1950.5</v>
      </c>
      <c r="I184" s="92">
        <v>1950.5</v>
      </c>
      <c r="J184" s="98"/>
    </row>
    <row r="185" spans="1:10" s="5" customFormat="1" ht="43.5" customHeight="1">
      <c r="A185" s="37" t="s">
        <v>87</v>
      </c>
      <c r="B185" s="8" t="s">
        <v>57</v>
      </c>
      <c r="C185" s="8" t="s">
        <v>43</v>
      </c>
      <c r="D185" s="8" t="s">
        <v>27</v>
      </c>
      <c r="E185" s="8" t="s">
        <v>211</v>
      </c>
      <c r="F185" s="8" t="s">
        <v>86</v>
      </c>
      <c r="G185" s="39">
        <f t="shared" si="18"/>
        <v>-797.0739999999969</v>
      </c>
      <c r="H185" s="26">
        <f>9500+553.1-91.36-125.6-8.756-42.917+400.7+2.116-15.392-5+89.226-164.603-15.61-19.175-762.289</f>
        <v>9294.440000000002</v>
      </c>
      <c r="I185" s="92">
        <v>10091.514</v>
      </c>
      <c r="J185" s="98"/>
    </row>
    <row r="186" spans="1:10" s="5" customFormat="1" ht="43.5" customHeight="1">
      <c r="A186" s="66" t="s">
        <v>244</v>
      </c>
      <c r="B186" s="8" t="s">
        <v>57</v>
      </c>
      <c r="C186" s="8" t="s">
        <v>43</v>
      </c>
      <c r="D186" s="8" t="s">
        <v>27</v>
      </c>
      <c r="E186" s="8" t="s">
        <v>211</v>
      </c>
      <c r="F186" s="8" t="s">
        <v>98</v>
      </c>
      <c r="G186" s="39">
        <f t="shared" si="18"/>
        <v>40.204</v>
      </c>
      <c r="H186" s="26">
        <f>4+2+34.204</f>
        <v>40.204</v>
      </c>
      <c r="I186" s="92"/>
      <c r="J186" s="98"/>
    </row>
    <row r="187" spans="1:10" s="5" customFormat="1" ht="30" customHeight="1">
      <c r="A187" s="66" t="s">
        <v>108</v>
      </c>
      <c r="B187" s="8" t="s">
        <v>57</v>
      </c>
      <c r="C187" s="8" t="s">
        <v>43</v>
      </c>
      <c r="D187" s="8" t="s">
        <v>27</v>
      </c>
      <c r="E187" s="8" t="s">
        <v>211</v>
      </c>
      <c r="F187" s="8" t="s">
        <v>106</v>
      </c>
      <c r="G187" s="39">
        <f t="shared" si="18"/>
        <v>19.47</v>
      </c>
      <c r="H187" s="26">
        <f>14+19.47</f>
        <v>33.47</v>
      </c>
      <c r="I187" s="92">
        <v>14</v>
      </c>
      <c r="J187" s="98"/>
    </row>
    <row r="188" spans="1:10" s="5" customFormat="1" ht="16.5" customHeight="1">
      <c r="A188" s="44" t="s">
        <v>109</v>
      </c>
      <c r="B188" s="8" t="s">
        <v>57</v>
      </c>
      <c r="C188" s="8" t="s">
        <v>43</v>
      </c>
      <c r="D188" s="8" t="s">
        <v>27</v>
      </c>
      <c r="E188" s="8" t="s">
        <v>211</v>
      </c>
      <c r="F188" s="8" t="s">
        <v>107</v>
      </c>
      <c r="G188" s="39">
        <f t="shared" si="18"/>
        <v>-67.32800000000003</v>
      </c>
      <c r="H188" s="26">
        <f>50+390-7.5-11.96-66.256-1.072</f>
        <v>353.212</v>
      </c>
      <c r="I188" s="92">
        <v>420.54</v>
      </c>
      <c r="J188" s="98"/>
    </row>
    <row r="189" spans="1:10" s="5" customFormat="1" ht="16.5" customHeight="1">
      <c r="A189" s="44" t="s">
        <v>230</v>
      </c>
      <c r="B189" s="8" t="s">
        <v>57</v>
      </c>
      <c r="C189" s="8" t="s">
        <v>43</v>
      </c>
      <c r="D189" s="8" t="s">
        <v>27</v>
      </c>
      <c r="E189" s="8" t="s">
        <v>211</v>
      </c>
      <c r="F189" s="8" t="s">
        <v>228</v>
      </c>
      <c r="G189" s="39">
        <f t="shared" si="18"/>
        <v>144.327</v>
      </c>
      <c r="H189" s="26">
        <f>0.058+25.735+15.005+5+0.371+88.55+0.17+32.607+23</f>
        <v>190.49599999999998</v>
      </c>
      <c r="I189" s="92">
        <v>46.169</v>
      </c>
      <c r="J189" s="98"/>
    </row>
    <row r="190" spans="1:10" s="5" customFormat="1" ht="30.75" customHeight="1">
      <c r="A190" s="80" t="s">
        <v>92</v>
      </c>
      <c r="B190" s="8" t="s">
        <v>57</v>
      </c>
      <c r="C190" s="8" t="s">
        <v>43</v>
      </c>
      <c r="D190" s="8" t="s">
        <v>27</v>
      </c>
      <c r="E190" s="8" t="s">
        <v>140</v>
      </c>
      <c r="F190" s="8"/>
      <c r="G190" s="39">
        <f>H190-I190</f>
        <v>-64.779</v>
      </c>
      <c r="H190" s="26">
        <f>H191+H195+H197+H199</f>
        <v>2505.957</v>
      </c>
      <c r="I190" s="26">
        <f>I191+I195+I197+I199</f>
        <v>2570.736</v>
      </c>
      <c r="J190" s="97"/>
    </row>
    <row r="191" spans="1:11" s="5" customFormat="1" ht="15">
      <c r="A191" s="45" t="s">
        <v>105</v>
      </c>
      <c r="B191" s="8" t="s">
        <v>57</v>
      </c>
      <c r="C191" s="8" t="s">
        <v>43</v>
      </c>
      <c r="D191" s="8" t="s">
        <v>27</v>
      </c>
      <c r="E191" s="8" t="s">
        <v>165</v>
      </c>
      <c r="F191" s="8"/>
      <c r="G191" s="39">
        <f aca="true" t="shared" si="19" ref="G191:G206">H191-I191</f>
        <v>-64.779</v>
      </c>
      <c r="H191" s="26">
        <f>H192+H193</f>
        <v>1809.492</v>
      </c>
      <c r="I191" s="26">
        <f>I192+I193</f>
        <v>1874.271</v>
      </c>
      <c r="J191" s="97"/>
      <c r="K191" s="30"/>
    </row>
    <row r="192" spans="1:11" s="5" customFormat="1" ht="42.75" customHeight="1">
      <c r="A192" s="45" t="s">
        <v>87</v>
      </c>
      <c r="B192" s="8" t="s">
        <v>57</v>
      </c>
      <c r="C192" s="8" t="s">
        <v>43</v>
      </c>
      <c r="D192" s="8" t="s">
        <v>27</v>
      </c>
      <c r="E192" s="8" t="s">
        <v>165</v>
      </c>
      <c r="F192" s="8" t="s">
        <v>86</v>
      </c>
      <c r="G192" s="39">
        <f t="shared" si="19"/>
        <v>-64.779</v>
      </c>
      <c r="H192" s="26">
        <f>1500-120.407-3.183-6.972-6.27-30-35.133-612.7-10.993-33-11-201.962+33-2+143.962-1.071+1272-1-23.779-40</f>
        <v>1809.492</v>
      </c>
      <c r="I192" s="92">
        <v>1874.271</v>
      </c>
      <c r="J192" s="98"/>
      <c r="K192" s="30"/>
    </row>
    <row r="193" spans="1:11" s="5" customFormat="1" ht="45" hidden="1">
      <c r="A193" s="66" t="s">
        <v>244</v>
      </c>
      <c r="B193" s="8" t="s">
        <v>57</v>
      </c>
      <c r="C193" s="8" t="s">
        <v>43</v>
      </c>
      <c r="D193" s="8" t="s">
        <v>27</v>
      </c>
      <c r="E193" s="8" t="s">
        <v>165</v>
      </c>
      <c r="F193" s="8" t="s">
        <v>98</v>
      </c>
      <c r="G193" s="39">
        <f t="shared" si="19"/>
        <v>0</v>
      </c>
      <c r="H193" s="26"/>
      <c r="I193" s="92"/>
      <c r="J193" s="98"/>
      <c r="K193" s="30"/>
    </row>
    <row r="194" spans="1:11" s="5" customFormat="1" ht="15" hidden="1">
      <c r="A194" s="44" t="s">
        <v>109</v>
      </c>
      <c r="B194" s="8" t="s">
        <v>57</v>
      </c>
      <c r="C194" s="8" t="s">
        <v>43</v>
      </c>
      <c r="D194" s="8" t="s">
        <v>27</v>
      </c>
      <c r="E194" s="8" t="s">
        <v>165</v>
      </c>
      <c r="F194" s="8" t="s">
        <v>107</v>
      </c>
      <c r="G194" s="39">
        <f t="shared" si="19"/>
        <v>0</v>
      </c>
      <c r="H194" s="26"/>
      <c r="I194" s="92"/>
      <c r="J194" s="98"/>
      <c r="K194" s="30"/>
    </row>
    <row r="195" spans="1:10" s="5" customFormat="1" ht="75">
      <c r="A195" s="80" t="s">
        <v>289</v>
      </c>
      <c r="B195" s="8" t="s">
        <v>57</v>
      </c>
      <c r="C195" s="8" t="s">
        <v>43</v>
      </c>
      <c r="D195" s="8" t="s">
        <v>27</v>
      </c>
      <c r="E195" s="8" t="s">
        <v>166</v>
      </c>
      <c r="F195" s="8"/>
      <c r="G195" s="39">
        <f t="shared" si="19"/>
        <v>0</v>
      </c>
      <c r="H195" s="27">
        <f>H196</f>
        <v>200</v>
      </c>
      <c r="I195" s="27">
        <f>I196</f>
        <v>200</v>
      </c>
      <c r="J195" s="98"/>
    </row>
    <row r="196" spans="1:10" s="5" customFormat="1" ht="61.5" customHeight="1">
      <c r="A196" s="45" t="s">
        <v>265</v>
      </c>
      <c r="B196" s="8" t="s">
        <v>57</v>
      </c>
      <c r="C196" s="8" t="s">
        <v>43</v>
      </c>
      <c r="D196" s="8" t="s">
        <v>27</v>
      </c>
      <c r="E196" s="8" t="s">
        <v>166</v>
      </c>
      <c r="F196" s="8" t="s">
        <v>264</v>
      </c>
      <c r="G196" s="39">
        <f t="shared" si="19"/>
        <v>0</v>
      </c>
      <c r="H196" s="27">
        <v>200</v>
      </c>
      <c r="I196" s="95">
        <v>200</v>
      </c>
      <c r="J196" s="98"/>
    </row>
    <row r="197" spans="1:10" s="5" customFormat="1" ht="15">
      <c r="A197" s="45" t="s">
        <v>7</v>
      </c>
      <c r="B197" s="18" t="s">
        <v>57</v>
      </c>
      <c r="C197" s="18" t="s">
        <v>43</v>
      </c>
      <c r="D197" s="18" t="s">
        <v>27</v>
      </c>
      <c r="E197" s="18" t="s">
        <v>141</v>
      </c>
      <c r="F197" s="18"/>
      <c r="G197" s="39">
        <f t="shared" si="19"/>
        <v>0</v>
      </c>
      <c r="H197" s="27">
        <f>H198</f>
        <v>10</v>
      </c>
      <c r="I197" s="27">
        <f>I198</f>
        <v>10</v>
      </c>
      <c r="J197" s="98"/>
    </row>
    <row r="198" spans="1:10" s="5" customFormat="1" ht="45">
      <c r="A198" s="45" t="s">
        <v>87</v>
      </c>
      <c r="B198" s="18" t="s">
        <v>57</v>
      </c>
      <c r="C198" s="18" t="s">
        <v>43</v>
      </c>
      <c r="D198" s="18" t="s">
        <v>27</v>
      </c>
      <c r="E198" s="18" t="s">
        <v>141</v>
      </c>
      <c r="F198" s="18" t="s">
        <v>86</v>
      </c>
      <c r="G198" s="39">
        <f t="shared" si="19"/>
        <v>0</v>
      </c>
      <c r="H198" s="27">
        <v>10</v>
      </c>
      <c r="I198" s="95">
        <v>10</v>
      </c>
      <c r="J198" s="98"/>
    </row>
    <row r="199" spans="1:10" s="5" customFormat="1" ht="30">
      <c r="A199" s="166" t="s">
        <v>398</v>
      </c>
      <c r="B199" s="18" t="s">
        <v>57</v>
      </c>
      <c r="C199" s="18" t="s">
        <v>43</v>
      </c>
      <c r="D199" s="18" t="s">
        <v>27</v>
      </c>
      <c r="E199" s="18" t="s">
        <v>159</v>
      </c>
      <c r="F199" s="18"/>
      <c r="G199" s="39">
        <f t="shared" si="19"/>
        <v>0</v>
      </c>
      <c r="H199" s="27">
        <f>H200</f>
        <v>486.465</v>
      </c>
      <c r="I199" s="27">
        <f>I200</f>
        <v>486.465</v>
      </c>
      <c r="J199" s="98"/>
    </row>
    <row r="200" spans="1:10" s="5" customFormat="1" ht="45">
      <c r="A200" s="45" t="s">
        <v>87</v>
      </c>
      <c r="B200" s="18" t="s">
        <v>57</v>
      </c>
      <c r="C200" s="18" t="s">
        <v>43</v>
      </c>
      <c r="D200" s="18" t="s">
        <v>27</v>
      </c>
      <c r="E200" s="18" t="s">
        <v>159</v>
      </c>
      <c r="F200" s="18" t="s">
        <v>86</v>
      </c>
      <c r="G200" s="39">
        <f t="shared" si="19"/>
        <v>0</v>
      </c>
      <c r="H200" s="27">
        <v>486.465</v>
      </c>
      <c r="I200" s="95">
        <v>486.465</v>
      </c>
      <c r="J200" s="98"/>
    </row>
    <row r="201" spans="1:10" s="16" customFormat="1" ht="14.25">
      <c r="A201" s="36" t="s">
        <v>397</v>
      </c>
      <c r="B201" s="20" t="s">
        <v>57</v>
      </c>
      <c r="C201" s="20" t="s">
        <v>43</v>
      </c>
      <c r="D201" s="20" t="s">
        <v>23</v>
      </c>
      <c r="E201" s="20"/>
      <c r="F201" s="20"/>
      <c r="G201" s="39">
        <f t="shared" si="19"/>
        <v>0</v>
      </c>
      <c r="H201" s="24">
        <f aca="true" t="shared" si="20" ref="H201:I203">H202</f>
        <v>1316.011</v>
      </c>
      <c r="I201" s="24">
        <f t="shared" si="20"/>
        <v>1316.011</v>
      </c>
      <c r="J201" s="99"/>
    </row>
    <row r="202" spans="1:10" s="5" customFormat="1" ht="30">
      <c r="A202" s="80" t="s">
        <v>92</v>
      </c>
      <c r="B202" s="8" t="s">
        <v>57</v>
      </c>
      <c r="C202" s="8" t="s">
        <v>43</v>
      </c>
      <c r="D202" s="8" t="s">
        <v>23</v>
      </c>
      <c r="E202" s="8" t="s">
        <v>140</v>
      </c>
      <c r="F202" s="8"/>
      <c r="G202" s="39">
        <f t="shared" si="19"/>
        <v>0</v>
      </c>
      <c r="H202" s="27">
        <f>H203+H205</f>
        <v>1316.011</v>
      </c>
      <c r="I202" s="27">
        <f>I203+I205</f>
        <v>1316.011</v>
      </c>
      <c r="J202" s="98"/>
    </row>
    <row r="203" spans="1:10" s="5" customFormat="1" ht="61.5" customHeight="1">
      <c r="A203" s="44" t="s">
        <v>217</v>
      </c>
      <c r="B203" s="14" t="s">
        <v>57</v>
      </c>
      <c r="C203" s="14" t="s">
        <v>43</v>
      </c>
      <c r="D203" s="14" t="s">
        <v>23</v>
      </c>
      <c r="E203" s="14" t="s">
        <v>172</v>
      </c>
      <c r="F203" s="14"/>
      <c r="G203" s="39">
        <f t="shared" si="19"/>
        <v>0</v>
      </c>
      <c r="H203" s="27">
        <f t="shared" si="20"/>
        <v>0.011</v>
      </c>
      <c r="I203" s="27">
        <f t="shared" si="20"/>
        <v>0.011</v>
      </c>
      <c r="J203" s="98"/>
    </row>
    <row r="204" spans="1:10" s="5" customFormat="1" ht="15">
      <c r="A204" s="44" t="s">
        <v>16</v>
      </c>
      <c r="B204" s="14" t="s">
        <v>57</v>
      </c>
      <c r="C204" s="14" t="s">
        <v>43</v>
      </c>
      <c r="D204" s="14" t="s">
        <v>23</v>
      </c>
      <c r="E204" s="14" t="s">
        <v>172</v>
      </c>
      <c r="F204" s="14" t="s">
        <v>96</v>
      </c>
      <c r="G204" s="39">
        <f t="shared" si="19"/>
        <v>0</v>
      </c>
      <c r="H204" s="27">
        <v>0.011</v>
      </c>
      <c r="I204" s="95">
        <v>0.011</v>
      </c>
      <c r="J204" s="98"/>
    </row>
    <row r="205" spans="1:10" s="19" customFormat="1" ht="75">
      <c r="A205" s="166" t="s">
        <v>403</v>
      </c>
      <c r="B205" s="23" t="s">
        <v>57</v>
      </c>
      <c r="C205" s="18" t="s">
        <v>43</v>
      </c>
      <c r="D205" s="18" t="s">
        <v>23</v>
      </c>
      <c r="E205" s="18" t="s">
        <v>402</v>
      </c>
      <c r="F205" s="18"/>
      <c r="G205" s="39">
        <f t="shared" si="19"/>
        <v>0</v>
      </c>
      <c r="H205" s="27">
        <f>H206</f>
        <v>1316</v>
      </c>
      <c r="I205" s="27">
        <f>I206</f>
        <v>1316</v>
      </c>
      <c r="J205" s="167"/>
    </row>
    <row r="206" spans="1:10" s="19" customFormat="1" ht="15">
      <c r="A206" s="166" t="s">
        <v>16</v>
      </c>
      <c r="B206" s="23" t="s">
        <v>57</v>
      </c>
      <c r="C206" s="18" t="s">
        <v>43</v>
      </c>
      <c r="D206" s="18" t="s">
        <v>23</v>
      </c>
      <c r="E206" s="18" t="s">
        <v>402</v>
      </c>
      <c r="F206" s="18" t="s">
        <v>96</v>
      </c>
      <c r="G206" s="39">
        <f t="shared" si="19"/>
        <v>0</v>
      </c>
      <c r="H206" s="27">
        <v>1316</v>
      </c>
      <c r="I206" s="95">
        <v>1316</v>
      </c>
      <c r="J206" s="167"/>
    </row>
    <row r="207" spans="1:10" s="9" customFormat="1" ht="14.25">
      <c r="A207" s="36" t="s">
        <v>45</v>
      </c>
      <c r="B207" s="7" t="s">
        <v>57</v>
      </c>
      <c r="C207" s="7" t="s">
        <v>35</v>
      </c>
      <c r="D207" s="7"/>
      <c r="E207" s="7"/>
      <c r="F207" s="7"/>
      <c r="G207" s="39">
        <f aca="true" t="shared" si="21" ref="G207:G225">H207-I207</f>
        <v>-1.4809999999999999</v>
      </c>
      <c r="H207" s="25">
        <f>H208</f>
        <v>7.519</v>
      </c>
      <c r="I207" s="94">
        <f>I208</f>
        <v>9</v>
      </c>
      <c r="J207" s="108"/>
    </row>
    <row r="208" spans="1:10" s="9" customFormat="1" ht="28.5">
      <c r="A208" s="36" t="s">
        <v>2</v>
      </c>
      <c r="B208" s="7" t="s">
        <v>57</v>
      </c>
      <c r="C208" s="7" t="s">
        <v>35</v>
      </c>
      <c r="D208" s="7" t="s">
        <v>23</v>
      </c>
      <c r="E208" s="7"/>
      <c r="F208" s="7"/>
      <c r="G208" s="39">
        <f t="shared" si="21"/>
        <v>-1.4809999999999999</v>
      </c>
      <c r="H208" s="25">
        <f>H209</f>
        <v>7.519</v>
      </c>
      <c r="I208" s="94">
        <f>I209</f>
        <v>9</v>
      </c>
      <c r="J208" s="108"/>
    </row>
    <row r="209" spans="1:10" s="5" customFormat="1" ht="57">
      <c r="A209" s="139" t="s">
        <v>320</v>
      </c>
      <c r="B209" s="8" t="s">
        <v>57</v>
      </c>
      <c r="C209" s="8" t="s">
        <v>35</v>
      </c>
      <c r="D209" s="8" t="s">
        <v>23</v>
      </c>
      <c r="E209" s="8" t="s">
        <v>168</v>
      </c>
      <c r="F209" s="8"/>
      <c r="G209" s="39">
        <f t="shared" si="21"/>
        <v>-1.4809999999999999</v>
      </c>
      <c r="H209" s="26">
        <f>H211</f>
        <v>7.519</v>
      </c>
      <c r="I209" s="92">
        <f>I211</f>
        <v>9</v>
      </c>
      <c r="J209" s="97"/>
    </row>
    <row r="210" spans="1:10" s="5" customFormat="1" ht="15">
      <c r="A210" s="45" t="s">
        <v>46</v>
      </c>
      <c r="B210" s="8" t="s">
        <v>57</v>
      </c>
      <c r="C210" s="8" t="s">
        <v>35</v>
      </c>
      <c r="D210" s="8" t="s">
        <v>23</v>
      </c>
      <c r="E210" s="8" t="s">
        <v>169</v>
      </c>
      <c r="F210" s="8"/>
      <c r="G210" s="39">
        <f t="shared" si="21"/>
        <v>-1.4809999999999999</v>
      </c>
      <c r="H210" s="26">
        <f>H211</f>
        <v>7.519</v>
      </c>
      <c r="I210" s="92">
        <f>I211</f>
        <v>9</v>
      </c>
      <c r="J210" s="97"/>
    </row>
    <row r="211" spans="1:10" s="5" customFormat="1" ht="30" customHeight="1">
      <c r="A211" s="45" t="s">
        <v>87</v>
      </c>
      <c r="B211" s="8" t="s">
        <v>57</v>
      </c>
      <c r="C211" s="8" t="s">
        <v>35</v>
      </c>
      <c r="D211" s="8" t="s">
        <v>23</v>
      </c>
      <c r="E211" s="8" t="s">
        <v>169</v>
      </c>
      <c r="F211" s="8" t="s">
        <v>86</v>
      </c>
      <c r="G211" s="39">
        <f t="shared" si="21"/>
        <v>-1.4809999999999999</v>
      </c>
      <c r="H211" s="26">
        <f>150-100-41-1.481</f>
        <v>7.519</v>
      </c>
      <c r="I211" s="92">
        <v>9</v>
      </c>
      <c r="J211" s="98"/>
    </row>
    <row r="212" spans="1:11" s="5" customFormat="1" ht="15">
      <c r="A212" s="36" t="s">
        <v>26</v>
      </c>
      <c r="B212" s="20" t="s">
        <v>57</v>
      </c>
      <c r="C212" s="20" t="s">
        <v>25</v>
      </c>
      <c r="D212" s="14"/>
      <c r="E212" s="14"/>
      <c r="F212" s="14"/>
      <c r="G212" s="39">
        <f t="shared" si="21"/>
        <v>380.33500000002095</v>
      </c>
      <c r="H212" s="24">
        <f>H306+H335+H213+H262+H348</f>
        <v>162488.806</v>
      </c>
      <c r="I212" s="24">
        <f>I306+I335+I213+I262+I348</f>
        <v>162108.471</v>
      </c>
      <c r="J212" s="107"/>
      <c r="K212" s="28"/>
    </row>
    <row r="213" spans="1:10" s="9" customFormat="1" ht="15.75" customHeight="1">
      <c r="A213" s="36" t="s">
        <v>48</v>
      </c>
      <c r="B213" s="7" t="s">
        <v>57</v>
      </c>
      <c r="C213" s="7" t="s">
        <v>25</v>
      </c>
      <c r="D213" s="7" t="s">
        <v>22</v>
      </c>
      <c r="E213" s="7"/>
      <c r="F213" s="7"/>
      <c r="G213" s="39">
        <f t="shared" si="21"/>
        <v>303.9279999999999</v>
      </c>
      <c r="H213" s="25">
        <f>H258+H214+H241</f>
        <v>37618.394</v>
      </c>
      <c r="I213" s="25">
        <f>I258+I214+I241</f>
        <v>37314.466</v>
      </c>
      <c r="J213" s="108"/>
    </row>
    <row r="214" spans="1:10" s="5" customFormat="1" ht="48" customHeight="1">
      <c r="A214" s="138" t="s">
        <v>328</v>
      </c>
      <c r="B214" s="8" t="s">
        <v>57</v>
      </c>
      <c r="C214" s="8" t="s">
        <v>25</v>
      </c>
      <c r="D214" s="8" t="s">
        <v>22</v>
      </c>
      <c r="E214" s="8" t="s">
        <v>192</v>
      </c>
      <c r="F214" s="8"/>
      <c r="G214" s="39">
        <f t="shared" si="21"/>
        <v>273.9279999999999</v>
      </c>
      <c r="H214" s="26">
        <f>H215+H226+H239</f>
        <v>32645.646999999997</v>
      </c>
      <c r="I214" s="26">
        <f>I215+I226+I239</f>
        <v>32371.718999999997</v>
      </c>
      <c r="J214" s="97"/>
    </row>
    <row r="215" spans="1:10" s="5" customFormat="1" ht="30">
      <c r="A215" s="37" t="s">
        <v>237</v>
      </c>
      <c r="B215" s="8" t="s">
        <v>57</v>
      </c>
      <c r="C215" s="8" t="s">
        <v>25</v>
      </c>
      <c r="D215" s="8" t="s">
        <v>22</v>
      </c>
      <c r="E215" s="8" t="s">
        <v>193</v>
      </c>
      <c r="F215" s="8"/>
      <c r="G215" s="39">
        <f t="shared" si="21"/>
        <v>273.9279999999999</v>
      </c>
      <c r="H215" s="26">
        <f>H216+H217+H219+H223+H224+H222+H218+H225+H221+H220</f>
        <v>18017.646999999997</v>
      </c>
      <c r="I215" s="26">
        <f>I216+I217+I219+I223+I224+I222+I218+I225+I221+I220</f>
        <v>17743.718999999997</v>
      </c>
      <c r="J215" s="97"/>
    </row>
    <row r="216" spans="1:10" s="5" customFormat="1" ht="15">
      <c r="A216" s="37" t="s">
        <v>208</v>
      </c>
      <c r="B216" s="8" t="s">
        <v>57</v>
      </c>
      <c r="C216" s="8" t="s">
        <v>25</v>
      </c>
      <c r="D216" s="8" t="s">
        <v>22</v>
      </c>
      <c r="E216" s="8" t="s">
        <v>193</v>
      </c>
      <c r="F216" s="8" t="s">
        <v>93</v>
      </c>
      <c r="G216" s="39">
        <f t="shared" si="21"/>
        <v>-151.59699999999884</v>
      </c>
      <c r="H216" s="120">
        <f>7305.6-304-54.45-21.687-72-9-10-4-23-68.516-38.5-8.5-7.7-9.262+80.263-14.35-39.032</f>
        <v>6701.866000000001</v>
      </c>
      <c r="I216" s="120">
        <v>6853.463</v>
      </c>
      <c r="J216" s="98"/>
    </row>
    <row r="217" spans="1:10" s="5" customFormat="1" ht="30">
      <c r="A217" s="37" t="s">
        <v>104</v>
      </c>
      <c r="B217" s="8" t="s">
        <v>57</v>
      </c>
      <c r="C217" s="8" t="s">
        <v>25</v>
      </c>
      <c r="D217" s="8" t="s">
        <v>22</v>
      </c>
      <c r="E217" s="8" t="s">
        <v>193</v>
      </c>
      <c r="F217" s="8" t="s">
        <v>103</v>
      </c>
      <c r="G217" s="39">
        <f t="shared" si="21"/>
        <v>-7.408999999999992</v>
      </c>
      <c r="H217" s="120">
        <f>43-4.4-0.559-0.75-0.1-0.27-0.26-2-16.29-4.03-1.947+72-4.34-3.109-4.3</f>
        <v>72.64500000000001</v>
      </c>
      <c r="I217" s="120">
        <v>80.054</v>
      </c>
      <c r="J217" s="98"/>
    </row>
    <row r="218" spans="1:10" s="5" customFormat="1" ht="48" customHeight="1">
      <c r="A218" s="37" t="s">
        <v>210</v>
      </c>
      <c r="B218" s="8" t="s">
        <v>57</v>
      </c>
      <c r="C218" s="8" t="s">
        <v>25</v>
      </c>
      <c r="D218" s="8" t="s">
        <v>22</v>
      </c>
      <c r="E218" s="8" t="s">
        <v>193</v>
      </c>
      <c r="F218" s="8" t="s">
        <v>133</v>
      </c>
      <c r="G218" s="39">
        <f t="shared" si="21"/>
        <v>175.13599999999997</v>
      </c>
      <c r="H218" s="120">
        <f>2206.3-90+26.4+4+38.5+8.5+24.239+59.147+14.35</f>
        <v>2291.436</v>
      </c>
      <c r="I218" s="120">
        <v>2116.3</v>
      </c>
      <c r="J218" s="98"/>
    </row>
    <row r="219" spans="1:10" s="5" customFormat="1" ht="45">
      <c r="A219" s="37" t="s">
        <v>87</v>
      </c>
      <c r="B219" s="8" t="s">
        <v>57</v>
      </c>
      <c r="C219" s="8" t="s">
        <v>25</v>
      </c>
      <c r="D219" s="8" t="s">
        <v>22</v>
      </c>
      <c r="E219" s="8" t="s">
        <v>193</v>
      </c>
      <c r="F219" s="63" t="s">
        <v>86</v>
      </c>
      <c r="G219" s="39">
        <f t="shared" si="21"/>
        <v>104.48099999999613</v>
      </c>
      <c r="H219" s="120">
        <f>9000-500+2+12.087+4.4-4.454+22.871+2+25+2-0.048+85-3.361+11-3.65+25-1.4-309.62-30-111.6+4.73+161+6.09+3.457+12.709+14.94-20-68.687-138+11.94-1.79+84.8+38-4.278+4.3</f>
        <v>8336.435999999996</v>
      </c>
      <c r="I219" s="120">
        <v>8231.955</v>
      </c>
      <c r="J219" s="98"/>
    </row>
    <row r="220" spans="1:10" s="5" customFormat="1" ht="45">
      <c r="A220" s="44" t="s">
        <v>394</v>
      </c>
      <c r="B220" s="8" t="s">
        <v>57</v>
      </c>
      <c r="C220" s="8" t="s">
        <v>25</v>
      </c>
      <c r="D220" s="8" t="s">
        <v>22</v>
      </c>
      <c r="E220" s="8" t="s">
        <v>193</v>
      </c>
      <c r="F220" s="63" t="s">
        <v>118</v>
      </c>
      <c r="G220" s="39">
        <f t="shared" si="21"/>
        <v>181.59499999999997</v>
      </c>
      <c r="H220" s="120">
        <f>54.45+21.687+16.29+9+23+68.516+7.7+9.262+25.085+39.032</f>
        <v>274.022</v>
      </c>
      <c r="I220" s="120">
        <v>92.427</v>
      </c>
      <c r="J220" s="98"/>
    </row>
    <row r="221" spans="1:10" s="5" customFormat="1" ht="45">
      <c r="A221" s="66" t="s">
        <v>386</v>
      </c>
      <c r="B221" s="8" t="s">
        <v>57</v>
      </c>
      <c r="C221" s="8" t="s">
        <v>25</v>
      </c>
      <c r="D221" s="8" t="s">
        <v>22</v>
      </c>
      <c r="E221" s="8" t="s">
        <v>193</v>
      </c>
      <c r="F221" s="63" t="s">
        <v>385</v>
      </c>
      <c r="G221" s="39">
        <f t="shared" si="21"/>
        <v>0</v>
      </c>
      <c r="H221" s="120">
        <f>110-25</f>
        <v>85</v>
      </c>
      <c r="I221" s="120">
        <v>85</v>
      </c>
      <c r="J221" s="98"/>
    </row>
    <row r="222" spans="1:10" s="5" customFormat="1" ht="45">
      <c r="A222" s="66" t="s">
        <v>244</v>
      </c>
      <c r="B222" s="8" t="s">
        <v>57</v>
      </c>
      <c r="C222" s="8" t="s">
        <v>25</v>
      </c>
      <c r="D222" s="8" t="s">
        <v>22</v>
      </c>
      <c r="E222" s="8" t="s">
        <v>193</v>
      </c>
      <c r="F222" s="63" t="s">
        <v>98</v>
      </c>
      <c r="G222" s="39">
        <f t="shared" si="21"/>
        <v>112.388</v>
      </c>
      <c r="H222" s="120">
        <f>56.224+2+18.73+93.658</f>
        <v>170.612</v>
      </c>
      <c r="I222" s="120">
        <v>58.224</v>
      </c>
      <c r="J222" s="98"/>
    </row>
    <row r="223" spans="1:10" s="5" customFormat="1" ht="30">
      <c r="A223" s="66" t="s">
        <v>108</v>
      </c>
      <c r="B223" s="8" t="s">
        <v>57</v>
      </c>
      <c r="C223" s="8" t="s">
        <v>25</v>
      </c>
      <c r="D223" s="8" t="s">
        <v>22</v>
      </c>
      <c r="E223" s="8" t="s">
        <v>193</v>
      </c>
      <c r="F223" s="63" t="s">
        <v>106</v>
      </c>
      <c r="G223" s="39">
        <f t="shared" si="21"/>
        <v>-152.12199999999999</v>
      </c>
      <c r="H223" s="120">
        <f>185-0.015-0.86-0.025-0.372-30-0.39-56.71-6.3-16.4-4.202-14.94-0.06-40.746-0.5-11.94-0.005-0.319</f>
        <v>1.2159999999999975</v>
      </c>
      <c r="I223" s="120">
        <v>153.338</v>
      </c>
      <c r="J223" s="98"/>
    </row>
    <row r="224" spans="1:10" s="5" customFormat="1" ht="15">
      <c r="A224" s="66" t="s">
        <v>109</v>
      </c>
      <c r="B224" s="8" t="s">
        <v>57</v>
      </c>
      <c r="C224" s="8" t="s">
        <v>25</v>
      </c>
      <c r="D224" s="8" t="s">
        <v>22</v>
      </c>
      <c r="E224" s="8" t="s">
        <v>193</v>
      </c>
      <c r="F224" s="63" t="s">
        <v>107</v>
      </c>
      <c r="G224" s="39">
        <f t="shared" si="21"/>
        <v>10.501999999999999</v>
      </c>
      <c r="H224" s="120">
        <f>0.75+6.3+4.202</f>
        <v>11.251999999999999</v>
      </c>
      <c r="I224" s="120">
        <v>0.75</v>
      </c>
      <c r="J224" s="98"/>
    </row>
    <row r="225" spans="1:10" s="5" customFormat="1" ht="15">
      <c r="A225" s="66" t="s">
        <v>230</v>
      </c>
      <c r="B225" s="8" t="s">
        <v>57</v>
      </c>
      <c r="C225" s="8" t="s">
        <v>25</v>
      </c>
      <c r="D225" s="8" t="s">
        <v>22</v>
      </c>
      <c r="E225" s="8" t="s">
        <v>193</v>
      </c>
      <c r="F225" s="63" t="s">
        <v>228</v>
      </c>
      <c r="G225" s="39">
        <f t="shared" si="21"/>
        <v>0.9540000000000077</v>
      </c>
      <c r="H225" s="120">
        <f>0.559+30+0.015+0.1+1.13+0.26+3.65+0.025+4.03+2.067+0.372+30+0.09+0.077+0.06+0.5+0.227</f>
        <v>73.162</v>
      </c>
      <c r="I225" s="120">
        <v>72.208</v>
      </c>
      <c r="J225" s="98"/>
    </row>
    <row r="226" spans="1:10" s="9" customFormat="1" ht="60">
      <c r="A226" s="161" t="s">
        <v>290</v>
      </c>
      <c r="B226" s="18" t="s">
        <v>57</v>
      </c>
      <c r="C226" s="18" t="s">
        <v>25</v>
      </c>
      <c r="D226" s="18" t="s">
        <v>22</v>
      </c>
      <c r="E226" s="18" t="s">
        <v>194</v>
      </c>
      <c r="F226" s="18"/>
      <c r="G226" s="39">
        <f aca="true" t="shared" si="22" ref="G226:G257">H226-I226</f>
        <v>0</v>
      </c>
      <c r="H226" s="27">
        <f>H227+H232+H237</f>
        <v>14268</v>
      </c>
      <c r="I226" s="27">
        <f>I227+I232+I237</f>
        <v>14268</v>
      </c>
      <c r="J226" s="100"/>
    </row>
    <row r="227" spans="1:10" s="9" customFormat="1" ht="60">
      <c r="A227" s="45" t="s">
        <v>291</v>
      </c>
      <c r="B227" s="18" t="s">
        <v>57</v>
      </c>
      <c r="C227" s="18" t="s">
        <v>25</v>
      </c>
      <c r="D227" s="18" t="s">
        <v>22</v>
      </c>
      <c r="E227" s="18" t="s">
        <v>258</v>
      </c>
      <c r="F227" s="18"/>
      <c r="G227" s="39">
        <f t="shared" si="22"/>
        <v>0</v>
      </c>
      <c r="H227" s="27">
        <f>H228+H229+H230+H231</f>
        <v>10959.2</v>
      </c>
      <c r="I227" s="27">
        <f>I228+I229+I230+I231</f>
        <v>10959.2</v>
      </c>
      <c r="J227" s="100"/>
    </row>
    <row r="228" spans="1:10" s="9" customFormat="1" ht="15">
      <c r="A228" s="37" t="s">
        <v>208</v>
      </c>
      <c r="B228" s="18" t="s">
        <v>57</v>
      </c>
      <c r="C228" s="18" t="s">
        <v>25</v>
      </c>
      <c r="D228" s="18" t="s">
        <v>22</v>
      </c>
      <c r="E228" s="18" t="s">
        <v>258</v>
      </c>
      <c r="F228" s="18" t="s">
        <v>93</v>
      </c>
      <c r="G228" s="39">
        <f t="shared" si="22"/>
        <v>-39.95000000000073</v>
      </c>
      <c r="H228" s="27">
        <f>8417.2-20.44-19.51</f>
        <v>8377.25</v>
      </c>
      <c r="I228" s="95">
        <v>8417.2</v>
      </c>
      <c r="J228" s="100"/>
    </row>
    <row r="229" spans="1:10" s="9" customFormat="1" ht="30">
      <c r="A229" s="37" t="s">
        <v>104</v>
      </c>
      <c r="B229" s="18" t="s">
        <v>57</v>
      </c>
      <c r="C229" s="18" t="s">
        <v>25</v>
      </c>
      <c r="D229" s="18" t="s">
        <v>22</v>
      </c>
      <c r="E229" s="18" t="s">
        <v>258</v>
      </c>
      <c r="F229" s="18" t="s">
        <v>103</v>
      </c>
      <c r="G229" s="39">
        <f t="shared" si="22"/>
        <v>0</v>
      </c>
      <c r="H229" s="27">
        <f>0.6</f>
        <v>0.6</v>
      </c>
      <c r="I229" s="95">
        <v>0.6</v>
      </c>
      <c r="J229" s="100"/>
    </row>
    <row r="230" spans="1:10" s="9" customFormat="1" ht="51" customHeight="1">
      <c r="A230" s="37" t="s">
        <v>209</v>
      </c>
      <c r="B230" s="18" t="s">
        <v>57</v>
      </c>
      <c r="C230" s="18" t="s">
        <v>25</v>
      </c>
      <c r="D230" s="18" t="s">
        <v>22</v>
      </c>
      <c r="E230" s="18" t="s">
        <v>258</v>
      </c>
      <c r="F230" s="18" t="s">
        <v>133</v>
      </c>
      <c r="G230" s="39">
        <f t="shared" si="22"/>
        <v>0</v>
      </c>
      <c r="H230" s="27">
        <f>2542-0.6</f>
        <v>2541.4</v>
      </c>
      <c r="I230" s="95">
        <v>2541.4</v>
      </c>
      <c r="J230" s="100"/>
    </row>
    <row r="231" spans="1:10" s="9" customFormat="1" ht="51" customHeight="1">
      <c r="A231" s="44" t="s">
        <v>394</v>
      </c>
      <c r="B231" s="18" t="s">
        <v>57</v>
      </c>
      <c r="C231" s="18" t="s">
        <v>25</v>
      </c>
      <c r="D231" s="18" t="s">
        <v>22</v>
      </c>
      <c r="E231" s="18" t="s">
        <v>258</v>
      </c>
      <c r="F231" s="18" t="s">
        <v>118</v>
      </c>
      <c r="G231" s="39">
        <f t="shared" si="22"/>
        <v>39.95</v>
      </c>
      <c r="H231" s="27">
        <f>20.44+19.51</f>
        <v>39.95</v>
      </c>
      <c r="I231" s="95"/>
      <c r="J231" s="100"/>
    </row>
    <row r="232" spans="1:10" s="9" customFormat="1" ht="60">
      <c r="A232" s="37" t="s">
        <v>292</v>
      </c>
      <c r="B232" s="18" t="s">
        <v>57</v>
      </c>
      <c r="C232" s="18" t="s">
        <v>25</v>
      </c>
      <c r="D232" s="18" t="s">
        <v>22</v>
      </c>
      <c r="E232" s="18" t="s">
        <v>259</v>
      </c>
      <c r="F232" s="18"/>
      <c r="G232" s="39">
        <f t="shared" si="22"/>
        <v>0</v>
      </c>
      <c r="H232" s="27">
        <f>H233+H234+H235+H236</f>
        <v>3063.7999999999997</v>
      </c>
      <c r="I232" s="27">
        <f>I233+I234+I235+I236</f>
        <v>3063.8</v>
      </c>
      <c r="J232" s="100"/>
    </row>
    <row r="233" spans="1:10" s="9" customFormat="1" ht="15">
      <c r="A233" s="37" t="s">
        <v>208</v>
      </c>
      <c r="B233" s="18" t="s">
        <v>57</v>
      </c>
      <c r="C233" s="18" t="s">
        <v>25</v>
      </c>
      <c r="D233" s="18" t="s">
        <v>22</v>
      </c>
      <c r="E233" s="18" t="s">
        <v>259</v>
      </c>
      <c r="F233" s="18" t="s">
        <v>93</v>
      </c>
      <c r="G233" s="39">
        <f t="shared" si="22"/>
        <v>-8</v>
      </c>
      <c r="H233" s="27">
        <f>2353.2-8</f>
        <v>2345.2</v>
      </c>
      <c r="I233" s="95">
        <v>2353.2</v>
      </c>
      <c r="J233" s="100"/>
    </row>
    <row r="234" spans="1:10" s="9" customFormat="1" ht="30">
      <c r="A234" s="37" t="s">
        <v>104</v>
      </c>
      <c r="B234" s="18" t="s">
        <v>57</v>
      </c>
      <c r="C234" s="18" t="s">
        <v>25</v>
      </c>
      <c r="D234" s="18" t="s">
        <v>22</v>
      </c>
      <c r="E234" s="18" t="s">
        <v>259</v>
      </c>
      <c r="F234" s="18" t="s">
        <v>103</v>
      </c>
      <c r="G234" s="39">
        <f t="shared" si="22"/>
        <v>0.3</v>
      </c>
      <c r="H234" s="27">
        <f>0.3+0.3</f>
        <v>0.6</v>
      </c>
      <c r="I234" s="95">
        <v>0.3</v>
      </c>
      <c r="J234" s="100"/>
    </row>
    <row r="235" spans="1:10" s="9" customFormat="1" ht="45.75" customHeight="1">
      <c r="A235" s="37" t="s">
        <v>209</v>
      </c>
      <c r="B235" s="18" t="s">
        <v>57</v>
      </c>
      <c r="C235" s="18" t="s">
        <v>25</v>
      </c>
      <c r="D235" s="18" t="s">
        <v>22</v>
      </c>
      <c r="E235" s="18" t="s">
        <v>259</v>
      </c>
      <c r="F235" s="18" t="s">
        <v>133</v>
      </c>
      <c r="G235" s="39">
        <f t="shared" si="22"/>
        <v>-3.8059999999998126</v>
      </c>
      <c r="H235" s="27">
        <f>710.6-0.3-0.3-3.506</f>
        <v>706.4940000000001</v>
      </c>
      <c r="I235" s="95">
        <v>710.3</v>
      </c>
      <c r="J235" s="100"/>
    </row>
    <row r="236" spans="1:10" s="9" customFormat="1" ht="45.75" customHeight="1">
      <c r="A236" s="44" t="s">
        <v>394</v>
      </c>
      <c r="B236" s="18" t="s">
        <v>57</v>
      </c>
      <c r="C236" s="18" t="s">
        <v>25</v>
      </c>
      <c r="D236" s="18" t="s">
        <v>22</v>
      </c>
      <c r="E236" s="18" t="s">
        <v>259</v>
      </c>
      <c r="F236" s="18" t="s">
        <v>118</v>
      </c>
      <c r="G236" s="39">
        <f t="shared" si="22"/>
        <v>11.506</v>
      </c>
      <c r="H236" s="27">
        <f>8+3.506</f>
        <v>11.506</v>
      </c>
      <c r="I236" s="95"/>
      <c r="J236" s="100"/>
    </row>
    <row r="237" spans="1:10" s="9" customFormat="1" ht="60">
      <c r="A237" s="37" t="s">
        <v>293</v>
      </c>
      <c r="B237" s="18" t="s">
        <v>57</v>
      </c>
      <c r="C237" s="18" t="s">
        <v>25</v>
      </c>
      <c r="D237" s="18" t="s">
        <v>22</v>
      </c>
      <c r="E237" s="18" t="s">
        <v>260</v>
      </c>
      <c r="F237" s="18"/>
      <c r="G237" s="39">
        <f t="shared" si="22"/>
        <v>0</v>
      </c>
      <c r="H237" s="27">
        <f>H238</f>
        <v>245</v>
      </c>
      <c r="I237" s="27">
        <f>I238</f>
        <v>245</v>
      </c>
      <c r="J237" s="100"/>
    </row>
    <row r="238" spans="1:10" s="9" customFormat="1" ht="45" customHeight="1">
      <c r="A238" s="37" t="s">
        <v>87</v>
      </c>
      <c r="B238" s="18" t="s">
        <v>57</v>
      </c>
      <c r="C238" s="18" t="s">
        <v>25</v>
      </c>
      <c r="D238" s="18" t="s">
        <v>22</v>
      </c>
      <c r="E238" s="18" t="s">
        <v>260</v>
      </c>
      <c r="F238" s="18" t="s">
        <v>86</v>
      </c>
      <c r="G238" s="39">
        <f t="shared" si="22"/>
        <v>0</v>
      </c>
      <c r="H238" s="27">
        <v>245</v>
      </c>
      <c r="I238" s="95">
        <v>245</v>
      </c>
      <c r="J238" s="100"/>
    </row>
    <row r="239" spans="1:10" s="9" customFormat="1" ht="59.25" customHeight="1">
      <c r="A239" s="33" t="s">
        <v>255</v>
      </c>
      <c r="B239" s="18" t="s">
        <v>57</v>
      </c>
      <c r="C239" s="18" t="s">
        <v>25</v>
      </c>
      <c r="D239" s="18" t="s">
        <v>22</v>
      </c>
      <c r="E239" s="18" t="s">
        <v>344</v>
      </c>
      <c r="F239" s="18"/>
      <c r="G239" s="39">
        <f t="shared" si="22"/>
        <v>0</v>
      </c>
      <c r="H239" s="27">
        <f>H240</f>
        <v>360</v>
      </c>
      <c r="I239" s="27">
        <f>I240</f>
        <v>360</v>
      </c>
      <c r="J239" s="100"/>
    </row>
    <row r="240" spans="1:10" s="9" customFormat="1" ht="45" customHeight="1">
      <c r="A240" s="37" t="s">
        <v>87</v>
      </c>
      <c r="B240" s="18" t="s">
        <v>57</v>
      </c>
      <c r="C240" s="18" t="s">
        <v>25</v>
      </c>
      <c r="D240" s="18" t="s">
        <v>22</v>
      </c>
      <c r="E240" s="18" t="s">
        <v>344</v>
      </c>
      <c r="F240" s="18" t="s">
        <v>86</v>
      </c>
      <c r="G240" s="39">
        <f t="shared" si="22"/>
        <v>0</v>
      </c>
      <c r="H240" s="27">
        <v>360</v>
      </c>
      <c r="I240" s="95">
        <v>360</v>
      </c>
      <c r="J240" s="100"/>
    </row>
    <row r="241" spans="1:10" s="9" customFormat="1" ht="45" customHeight="1">
      <c r="A241" s="138" t="s">
        <v>329</v>
      </c>
      <c r="B241" s="8" t="s">
        <v>57</v>
      </c>
      <c r="C241" s="8" t="s">
        <v>25</v>
      </c>
      <c r="D241" s="8" t="s">
        <v>22</v>
      </c>
      <c r="E241" s="8" t="s">
        <v>195</v>
      </c>
      <c r="F241" s="18"/>
      <c r="G241" s="39">
        <f t="shared" si="22"/>
        <v>30</v>
      </c>
      <c r="H241" s="27">
        <f>H246+H242</f>
        <v>4972.747</v>
      </c>
      <c r="I241" s="27">
        <f>I246+I242</f>
        <v>4942.747</v>
      </c>
      <c r="J241" s="100"/>
    </row>
    <row r="242" spans="1:10" s="9" customFormat="1" ht="30">
      <c r="A242" s="44" t="s">
        <v>235</v>
      </c>
      <c r="B242" s="8" t="s">
        <v>57</v>
      </c>
      <c r="C242" s="8" t="s">
        <v>25</v>
      </c>
      <c r="D242" s="8" t="s">
        <v>22</v>
      </c>
      <c r="E242" s="8" t="s">
        <v>196</v>
      </c>
      <c r="F242" s="18"/>
      <c r="G242" s="39">
        <f t="shared" si="22"/>
        <v>30</v>
      </c>
      <c r="H242" s="27">
        <f>H245+H244+H243</f>
        <v>1300.747</v>
      </c>
      <c r="I242" s="27">
        <f>I245+I244+I243</f>
        <v>1270.747</v>
      </c>
      <c r="J242" s="100"/>
    </row>
    <row r="243" spans="1:10" s="9" customFormat="1" ht="15">
      <c r="A243" s="37" t="s">
        <v>208</v>
      </c>
      <c r="B243" s="8" t="s">
        <v>57</v>
      </c>
      <c r="C243" s="8" t="s">
        <v>25</v>
      </c>
      <c r="D243" s="8" t="s">
        <v>22</v>
      </c>
      <c r="E243" s="8" t="s">
        <v>196</v>
      </c>
      <c r="F243" s="18" t="s">
        <v>93</v>
      </c>
      <c r="G243" s="39">
        <f t="shared" si="22"/>
        <v>0</v>
      </c>
      <c r="H243" s="27">
        <f>143.4</f>
        <v>143.4</v>
      </c>
      <c r="I243" s="27">
        <v>143.4</v>
      </c>
      <c r="J243" s="100"/>
    </row>
    <row r="244" spans="1:10" s="9" customFormat="1" ht="45" customHeight="1">
      <c r="A244" s="37" t="s">
        <v>209</v>
      </c>
      <c r="B244" s="8" t="s">
        <v>57</v>
      </c>
      <c r="C244" s="8" t="s">
        <v>25</v>
      </c>
      <c r="D244" s="8" t="s">
        <v>22</v>
      </c>
      <c r="E244" s="8" t="s">
        <v>196</v>
      </c>
      <c r="F244" s="18" t="s">
        <v>133</v>
      </c>
      <c r="G244" s="39">
        <f t="shared" si="22"/>
        <v>0</v>
      </c>
      <c r="H244" s="27">
        <f>44.047-0.359+0.359+43.3</f>
        <v>87.347</v>
      </c>
      <c r="I244" s="27">
        <v>87.347</v>
      </c>
      <c r="J244" s="100"/>
    </row>
    <row r="245" spans="1:10" s="9" customFormat="1" ht="45" customHeight="1">
      <c r="A245" s="37" t="s">
        <v>87</v>
      </c>
      <c r="B245" s="8" t="s">
        <v>57</v>
      </c>
      <c r="C245" s="8" t="s">
        <v>25</v>
      </c>
      <c r="D245" s="8" t="s">
        <v>22</v>
      </c>
      <c r="E245" s="8" t="s">
        <v>196</v>
      </c>
      <c r="F245" s="18" t="s">
        <v>86</v>
      </c>
      <c r="G245" s="39">
        <f t="shared" si="22"/>
        <v>30</v>
      </c>
      <c r="H245" s="27">
        <f>1110-70+10+20</f>
        <v>1070</v>
      </c>
      <c r="I245" s="27">
        <v>1040</v>
      </c>
      <c r="J245" s="100"/>
    </row>
    <row r="246" spans="1:10" s="9" customFormat="1" ht="58.5" customHeight="1">
      <c r="A246" s="45" t="s">
        <v>294</v>
      </c>
      <c r="B246" s="18" t="s">
        <v>57</v>
      </c>
      <c r="C246" s="18" t="s">
        <v>25</v>
      </c>
      <c r="D246" s="18" t="s">
        <v>22</v>
      </c>
      <c r="E246" s="18" t="s">
        <v>266</v>
      </c>
      <c r="F246" s="18"/>
      <c r="G246" s="39">
        <f t="shared" si="22"/>
        <v>0</v>
      </c>
      <c r="H246" s="27">
        <f>H247+H252+H256</f>
        <v>3672</v>
      </c>
      <c r="I246" s="27">
        <f>I247+I252+I256</f>
        <v>3672</v>
      </c>
      <c r="J246" s="100"/>
    </row>
    <row r="247" spans="1:10" s="9" customFormat="1" ht="90">
      <c r="A247" s="45" t="s">
        <v>295</v>
      </c>
      <c r="B247" s="18" t="s">
        <v>57</v>
      </c>
      <c r="C247" s="18" t="s">
        <v>25</v>
      </c>
      <c r="D247" s="18" t="s">
        <v>22</v>
      </c>
      <c r="E247" s="18" t="s">
        <v>267</v>
      </c>
      <c r="F247" s="18"/>
      <c r="G247" s="39">
        <f t="shared" si="22"/>
        <v>0</v>
      </c>
      <c r="H247" s="27">
        <f>H248+H249+H250+H251</f>
        <v>2728.9</v>
      </c>
      <c r="I247" s="27">
        <f>I248+I249+I250+I251</f>
        <v>2728.9</v>
      </c>
      <c r="J247" s="100"/>
    </row>
    <row r="248" spans="1:10" s="9" customFormat="1" ht="15">
      <c r="A248" s="37" t="s">
        <v>208</v>
      </c>
      <c r="B248" s="18" t="s">
        <v>57</v>
      </c>
      <c r="C248" s="18" t="s">
        <v>25</v>
      </c>
      <c r="D248" s="18" t="s">
        <v>22</v>
      </c>
      <c r="E248" s="18" t="s">
        <v>267</v>
      </c>
      <c r="F248" s="18" t="s">
        <v>93</v>
      </c>
      <c r="G248" s="39">
        <f t="shared" si="22"/>
        <v>-43.21900000000005</v>
      </c>
      <c r="H248" s="27">
        <f>2095.9-43.219</f>
        <v>2052.681</v>
      </c>
      <c r="I248" s="95">
        <v>2095.9</v>
      </c>
      <c r="J248" s="100"/>
    </row>
    <row r="249" spans="1:10" s="9" customFormat="1" ht="30" hidden="1">
      <c r="A249" s="37" t="s">
        <v>104</v>
      </c>
      <c r="B249" s="18" t="s">
        <v>57</v>
      </c>
      <c r="C249" s="18" t="s">
        <v>25</v>
      </c>
      <c r="D249" s="18" t="s">
        <v>22</v>
      </c>
      <c r="E249" s="18" t="s">
        <v>267</v>
      </c>
      <c r="F249" s="18" t="s">
        <v>103</v>
      </c>
      <c r="G249" s="39">
        <f t="shared" si="22"/>
        <v>0</v>
      </c>
      <c r="H249" s="27"/>
      <c r="I249" s="95"/>
      <c r="J249" s="100"/>
    </row>
    <row r="250" spans="1:10" s="9" customFormat="1" ht="46.5" customHeight="1">
      <c r="A250" s="37" t="s">
        <v>209</v>
      </c>
      <c r="B250" s="18" t="s">
        <v>57</v>
      </c>
      <c r="C250" s="18" t="s">
        <v>25</v>
      </c>
      <c r="D250" s="18" t="s">
        <v>22</v>
      </c>
      <c r="E250" s="18" t="s">
        <v>267</v>
      </c>
      <c r="F250" s="18" t="s">
        <v>133</v>
      </c>
      <c r="G250" s="39">
        <f t="shared" si="22"/>
        <v>0</v>
      </c>
      <c r="H250" s="27">
        <v>633</v>
      </c>
      <c r="I250" s="95">
        <v>633</v>
      </c>
      <c r="J250" s="100"/>
    </row>
    <row r="251" spans="1:10" s="9" customFormat="1" ht="46.5" customHeight="1">
      <c r="A251" s="44" t="s">
        <v>394</v>
      </c>
      <c r="B251" s="18" t="s">
        <v>57</v>
      </c>
      <c r="C251" s="18" t="s">
        <v>25</v>
      </c>
      <c r="D251" s="18" t="s">
        <v>22</v>
      </c>
      <c r="E251" s="18" t="s">
        <v>267</v>
      </c>
      <c r="F251" s="18" t="s">
        <v>118</v>
      </c>
      <c r="G251" s="39">
        <f t="shared" si="22"/>
        <v>43.219</v>
      </c>
      <c r="H251" s="27">
        <f>43.219</f>
        <v>43.219</v>
      </c>
      <c r="I251" s="95"/>
      <c r="J251" s="100"/>
    </row>
    <row r="252" spans="1:10" s="9" customFormat="1" ht="90">
      <c r="A252" s="66" t="s">
        <v>296</v>
      </c>
      <c r="B252" s="18" t="s">
        <v>57</v>
      </c>
      <c r="C252" s="18" t="s">
        <v>25</v>
      </c>
      <c r="D252" s="18" t="s">
        <v>22</v>
      </c>
      <c r="E252" s="18" t="s">
        <v>268</v>
      </c>
      <c r="F252" s="18"/>
      <c r="G252" s="39">
        <f t="shared" si="22"/>
        <v>0</v>
      </c>
      <c r="H252" s="27">
        <f>H253+H254+H255</f>
        <v>917.1</v>
      </c>
      <c r="I252" s="27">
        <f>I253+I254+I255</f>
        <v>917.0999999999999</v>
      </c>
      <c r="J252" s="100"/>
    </row>
    <row r="253" spans="1:10" s="9" customFormat="1" ht="15">
      <c r="A253" s="37" t="s">
        <v>208</v>
      </c>
      <c r="B253" s="18" t="s">
        <v>57</v>
      </c>
      <c r="C253" s="18" t="s">
        <v>25</v>
      </c>
      <c r="D253" s="18" t="s">
        <v>22</v>
      </c>
      <c r="E253" s="18" t="s">
        <v>268</v>
      </c>
      <c r="F253" s="18" t="s">
        <v>93</v>
      </c>
      <c r="G253" s="39">
        <f t="shared" si="22"/>
        <v>1.18100000000004</v>
      </c>
      <c r="H253" s="27">
        <f>704.4+1.181</f>
        <v>705.581</v>
      </c>
      <c r="I253" s="95">
        <v>704.4</v>
      </c>
      <c r="J253" s="100"/>
    </row>
    <row r="254" spans="1:10" s="9" customFormat="1" ht="30" hidden="1">
      <c r="A254" s="37" t="s">
        <v>104</v>
      </c>
      <c r="B254" s="18" t="s">
        <v>57</v>
      </c>
      <c r="C254" s="18" t="s">
        <v>25</v>
      </c>
      <c r="D254" s="18" t="s">
        <v>22</v>
      </c>
      <c r="E254" s="18" t="s">
        <v>268</v>
      </c>
      <c r="F254" s="18" t="s">
        <v>103</v>
      </c>
      <c r="G254" s="39">
        <f t="shared" si="22"/>
        <v>0</v>
      </c>
      <c r="H254" s="27"/>
      <c r="I254" s="95"/>
      <c r="J254" s="100"/>
    </row>
    <row r="255" spans="1:10" s="9" customFormat="1" ht="46.5" customHeight="1">
      <c r="A255" s="37" t="s">
        <v>209</v>
      </c>
      <c r="B255" s="18" t="s">
        <v>57</v>
      </c>
      <c r="C255" s="18" t="s">
        <v>25</v>
      </c>
      <c r="D255" s="18" t="s">
        <v>22</v>
      </c>
      <c r="E255" s="18" t="s">
        <v>268</v>
      </c>
      <c r="F255" s="18" t="s">
        <v>133</v>
      </c>
      <c r="G255" s="39">
        <f t="shared" si="22"/>
        <v>-1.1810000000000116</v>
      </c>
      <c r="H255" s="27">
        <f>212.7-1.181</f>
        <v>211.51899999999998</v>
      </c>
      <c r="I255" s="95">
        <v>212.7</v>
      </c>
      <c r="J255" s="100"/>
    </row>
    <row r="256" spans="1:10" s="9" customFormat="1" ht="74.25" customHeight="1">
      <c r="A256" s="66" t="s">
        <v>297</v>
      </c>
      <c r="B256" s="18" t="s">
        <v>57</v>
      </c>
      <c r="C256" s="18" t="s">
        <v>25</v>
      </c>
      <c r="D256" s="18" t="s">
        <v>22</v>
      </c>
      <c r="E256" s="18" t="s">
        <v>269</v>
      </c>
      <c r="F256" s="18"/>
      <c r="G256" s="39">
        <f t="shared" si="22"/>
        <v>0</v>
      </c>
      <c r="H256" s="27">
        <f>H257</f>
        <v>26</v>
      </c>
      <c r="I256" s="27">
        <f>I257</f>
        <v>26</v>
      </c>
      <c r="J256" s="100"/>
    </row>
    <row r="257" spans="1:10" s="9" customFormat="1" ht="46.5" customHeight="1">
      <c r="A257" s="44" t="s">
        <v>87</v>
      </c>
      <c r="B257" s="18" t="s">
        <v>57</v>
      </c>
      <c r="C257" s="18" t="s">
        <v>25</v>
      </c>
      <c r="D257" s="18" t="s">
        <v>22</v>
      </c>
      <c r="E257" s="18" t="s">
        <v>269</v>
      </c>
      <c r="F257" s="18" t="s">
        <v>86</v>
      </c>
      <c r="G257" s="39">
        <f t="shared" si="22"/>
        <v>0</v>
      </c>
      <c r="H257" s="27">
        <v>26</v>
      </c>
      <c r="I257" s="95">
        <v>26</v>
      </c>
      <c r="J257" s="100"/>
    </row>
    <row r="258" spans="1:10" s="5" customFormat="1" ht="27.75" customHeight="1" hidden="1">
      <c r="A258" s="80" t="s">
        <v>92</v>
      </c>
      <c r="B258" s="8" t="s">
        <v>57</v>
      </c>
      <c r="C258" s="8" t="s">
        <v>25</v>
      </c>
      <c r="D258" s="8" t="s">
        <v>22</v>
      </c>
      <c r="E258" s="8" t="s">
        <v>140</v>
      </c>
      <c r="F258" s="8"/>
      <c r="G258" s="39">
        <f>H258-I258</f>
        <v>0</v>
      </c>
      <c r="H258" s="26">
        <f>H259</f>
        <v>0</v>
      </c>
      <c r="I258" s="26">
        <f>I259</f>
        <v>0</v>
      </c>
      <c r="J258" s="98"/>
    </row>
    <row r="259" spans="1:10" s="5" customFormat="1" ht="75" hidden="1">
      <c r="A259" s="45" t="s">
        <v>221</v>
      </c>
      <c r="B259" s="8" t="s">
        <v>57</v>
      </c>
      <c r="C259" s="8" t="s">
        <v>25</v>
      </c>
      <c r="D259" s="8" t="s">
        <v>22</v>
      </c>
      <c r="E259" s="8" t="s">
        <v>220</v>
      </c>
      <c r="F259" s="8"/>
      <c r="G259" s="39">
        <f>H259-I259</f>
        <v>0</v>
      </c>
      <c r="H259" s="26">
        <f>H260+H261</f>
        <v>0</v>
      </c>
      <c r="I259" s="26">
        <f>I260+I261</f>
        <v>0</v>
      </c>
      <c r="J259" s="98"/>
    </row>
    <row r="260" spans="1:10" s="5" customFormat="1" ht="15" hidden="1">
      <c r="A260" s="37" t="s">
        <v>208</v>
      </c>
      <c r="B260" s="8" t="s">
        <v>57</v>
      </c>
      <c r="C260" s="8" t="s">
        <v>25</v>
      </c>
      <c r="D260" s="8" t="s">
        <v>22</v>
      </c>
      <c r="E260" s="8" t="s">
        <v>220</v>
      </c>
      <c r="F260" s="8" t="s">
        <v>93</v>
      </c>
      <c r="G260" s="39">
        <f>H260-I260</f>
        <v>0</v>
      </c>
      <c r="H260" s="26"/>
      <c r="I260" s="92"/>
      <c r="J260" s="98"/>
    </row>
    <row r="261" spans="1:10" s="5" customFormat="1" ht="45.75" customHeight="1" hidden="1">
      <c r="A261" s="37" t="s">
        <v>209</v>
      </c>
      <c r="B261" s="8" t="s">
        <v>57</v>
      </c>
      <c r="C261" s="8" t="s">
        <v>25</v>
      </c>
      <c r="D261" s="8" t="s">
        <v>22</v>
      </c>
      <c r="E261" s="8" t="s">
        <v>220</v>
      </c>
      <c r="F261" s="8" t="s">
        <v>133</v>
      </c>
      <c r="G261" s="39"/>
      <c r="H261" s="26"/>
      <c r="I261" s="92"/>
      <c r="J261" s="98"/>
    </row>
    <row r="262" spans="1:10" s="9" customFormat="1" ht="15" customHeight="1">
      <c r="A262" s="36" t="s">
        <v>28</v>
      </c>
      <c r="B262" s="7" t="s">
        <v>57</v>
      </c>
      <c r="C262" s="7" t="s">
        <v>25</v>
      </c>
      <c r="D262" s="7" t="s">
        <v>27</v>
      </c>
      <c r="E262" s="7"/>
      <c r="F262" s="7"/>
      <c r="G262" s="39">
        <f aca="true" t="shared" si="23" ref="G262:G267">H262-I262</f>
        <v>1005.1350000000093</v>
      </c>
      <c r="H262" s="25">
        <f>H268+H298+H263</f>
        <v>113802.57800000001</v>
      </c>
      <c r="I262" s="25">
        <f>I268+I298+I263</f>
        <v>112797.443</v>
      </c>
      <c r="J262" s="108"/>
    </row>
    <row r="263" spans="1:10" s="9" customFormat="1" ht="28.5" hidden="1">
      <c r="A263" s="121" t="s">
        <v>321</v>
      </c>
      <c r="B263" s="18" t="s">
        <v>57</v>
      </c>
      <c r="C263" s="18" t="s">
        <v>25</v>
      </c>
      <c r="D263" s="18" t="s">
        <v>27</v>
      </c>
      <c r="E263" s="18" t="s">
        <v>188</v>
      </c>
      <c r="F263" s="18"/>
      <c r="G263" s="39">
        <f t="shared" si="23"/>
        <v>0</v>
      </c>
      <c r="H263" s="27">
        <f aca="true" t="shared" si="24" ref="H263:I266">H264</f>
        <v>0</v>
      </c>
      <c r="I263" s="25">
        <f t="shared" si="24"/>
        <v>0</v>
      </c>
      <c r="J263" s="108"/>
    </row>
    <row r="264" spans="1:10" s="9" customFormat="1" ht="90" hidden="1">
      <c r="A264" s="44" t="s">
        <v>276</v>
      </c>
      <c r="B264" s="18" t="s">
        <v>57</v>
      </c>
      <c r="C264" s="18" t="s">
        <v>25</v>
      </c>
      <c r="D264" s="18" t="s">
        <v>27</v>
      </c>
      <c r="E264" s="18" t="s">
        <v>278</v>
      </c>
      <c r="F264" s="18"/>
      <c r="G264" s="39">
        <f t="shared" si="23"/>
        <v>0</v>
      </c>
      <c r="H264" s="27">
        <f t="shared" si="24"/>
        <v>0</v>
      </c>
      <c r="I264" s="27">
        <f t="shared" si="24"/>
        <v>0</v>
      </c>
      <c r="J264" s="108"/>
    </row>
    <row r="265" spans="1:10" s="9" customFormat="1" ht="57" customHeight="1" hidden="1">
      <c r="A265" s="44" t="s">
        <v>277</v>
      </c>
      <c r="B265" s="18" t="s">
        <v>57</v>
      </c>
      <c r="C265" s="18" t="s">
        <v>25</v>
      </c>
      <c r="D265" s="18" t="s">
        <v>27</v>
      </c>
      <c r="E265" s="18" t="s">
        <v>279</v>
      </c>
      <c r="F265" s="18"/>
      <c r="G265" s="39">
        <f t="shared" si="23"/>
        <v>0</v>
      </c>
      <c r="H265" s="27">
        <f t="shared" si="24"/>
        <v>0</v>
      </c>
      <c r="I265" s="27">
        <f t="shared" si="24"/>
        <v>0</v>
      </c>
      <c r="J265" s="108"/>
    </row>
    <row r="266" spans="1:10" s="9" customFormat="1" ht="60" hidden="1">
      <c r="A266" s="44" t="s">
        <v>298</v>
      </c>
      <c r="B266" s="18" t="s">
        <v>57</v>
      </c>
      <c r="C266" s="18" t="s">
        <v>25</v>
      </c>
      <c r="D266" s="18" t="s">
        <v>27</v>
      </c>
      <c r="E266" s="18" t="s">
        <v>280</v>
      </c>
      <c r="F266" s="18"/>
      <c r="G266" s="39">
        <f t="shared" si="23"/>
        <v>0</v>
      </c>
      <c r="H266" s="27">
        <f t="shared" si="24"/>
        <v>0</v>
      </c>
      <c r="I266" s="27">
        <f t="shared" si="24"/>
        <v>0</v>
      </c>
      <c r="J266" s="108"/>
    </row>
    <row r="267" spans="1:10" s="9" customFormat="1" ht="45" hidden="1">
      <c r="A267" s="44" t="s">
        <v>87</v>
      </c>
      <c r="B267" s="18" t="s">
        <v>57</v>
      </c>
      <c r="C267" s="18" t="s">
        <v>25</v>
      </c>
      <c r="D267" s="18" t="s">
        <v>27</v>
      </c>
      <c r="E267" s="18" t="s">
        <v>280</v>
      </c>
      <c r="F267" s="18" t="s">
        <v>86</v>
      </c>
      <c r="G267" s="39">
        <f t="shared" si="23"/>
        <v>0</v>
      </c>
      <c r="H267" s="27"/>
      <c r="I267" s="25"/>
      <c r="J267" s="108"/>
    </row>
    <row r="268" spans="1:10" s="5" customFormat="1" ht="45" customHeight="1">
      <c r="A268" s="138" t="s">
        <v>330</v>
      </c>
      <c r="B268" s="8" t="s">
        <v>57</v>
      </c>
      <c r="C268" s="8" t="s">
        <v>25</v>
      </c>
      <c r="D268" s="8" t="s">
        <v>27</v>
      </c>
      <c r="E268" s="8" t="s">
        <v>195</v>
      </c>
      <c r="F268" s="8"/>
      <c r="G268" s="39">
        <f>H268-I268</f>
        <v>939.4000000000087</v>
      </c>
      <c r="H268" s="26">
        <f>H269+H281+H294+H296</f>
        <v>106791.543</v>
      </c>
      <c r="I268" s="26">
        <f>I269+I281+I294+I296</f>
        <v>105852.143</v>
      </c>
      <c r="J268" s="97"/>
    </row>
    <row r="269" spans="1:10" s="5" customFormat="1" ht="30">
      <c r="A269" s="44" t="s">
        <v>235</v>
      </c>
      <c r="B269" s="8" t="s">
        <v>57</v>
      </c>
      <c r="C269" s="8" t="s">
        <v>25</v>
      </c>
      <c r="D269" s="8" t="s">
        <v>27</v>
      </c>
      <c r="E269" s="8" t="s">
        <v>196</v>
      </c>
      <c r="F269" s="8"/>
      <c r="G269" s="39">
        <f>H269-I269</f>
        <v>839.4000000000087</v>
      </c>
      <c r="H269" s="26">
        <f>H271+H274+H278+H279+H277+H270+H272+H280+H276+H273+H275</f>
        <v>21526.843000000008</v>
      </c>
      <c r="I269" s="26">
        <f>I271+I274+I278+I279+I277+I270+I272+I280+I276+I273+I275</f>
        <v>20687.443</v>
      </c>
      <c r="J269" s="97"/>
    </row>
    <row r="270" spans="1:10" s="5" customFormat="1" ht="15">
      <c r="A270" s="37" t="s">
        <v>208</v>
      </c>
      <c r="B270" s="8" t="s">
        <v>57</v>
      </c>
      <c r="C270" s="8" t="s">
        <v>25</v>
      </c>
      <c r="D270" s="8" t="s">
        <v>27</v>
      </c>
      <c r="E270" s="8" t="s">
        <v>196</v>
      </c>
      <c r="F270" s="8" t="s">
        <v>93</v>
      </c>
      <c r="G270" s="39">
        <f>H270-I270</f>
        <v>486.72299999999996</v>
      </c>
      <c r="H270" s="26">
        <f>73.073+413.65</f>
        <v>486.72299999999996</v>
      </c>
      <c r="I270" s="92"/>
      <c r="J270" s="97"/>
    </row>
    <row r="271" spans="1:10" s="5" customFormat="1" ht="30">
      <c r="A271" s="44" t="s">
        <v>104</v>
      </c>
      <c r="B271" s="8" t="s">
        <v>57</v>
      </c>
      <c r="C271" s="8" t="s">
        <v>25</v>
      </c>
      <c r="D271" s="8" t="s">
        <v>27</v>
      </c>
      <c r="E271" s="8" t="s">
        <v>196</v>
      </c>
      <c r="F271" s="8" t="s">
        <v>103</v>
      </c>
      <c r="G271" s="39">
        <f aca="true" t="shared" si="25" ref="G271:G280">H271-I271</f>
        <v>-66.844</v>
      </c>
      <c r="H271" s="26">
        <f>175-10-0.743-5.1-12.33-1.82-0.49-3.45-0.13-5-2.85-9.3-7.19+7-1.894-2.59-3.67-5.05-6-8.58-9.56+1-14.49-1.33-10.2-14.617-17.647</f>
        <v>28.969000000000015</v>
      </c>
      <c r="I271" s="92">
        <v>95.813</v>
      </c>
      <c r="J271" s="98"/>
    </row>
    <row r="272" spans="1:10" s="5" customFormat="1" ht="45.75" customHeight="1" hidden="1">
      <c r="A272" s="33" t="s">
        <v>233</v>
      </c>
      <c r="B272" s="8" t="s">
        <v>57</v>
      </c>
      <c r="C272" s="8" t="s">
        <v>25</v>
      </c>
      <c r="D272" s="8" t="s">
        <v>27</v>
      </c>
      <c r="E272" s="8" t="s">
        <v>196</v>
      </c>
      <c r="F272" s="8" t="s">
        <v>232</v>
      </c>
      <c r="G272" s="39">
        <f t="shared" si="25"/>
        <v>0</v>
      </c>
      <c r="H272" s="26"/>
      <c r="I272" s="92"/>
      <c r="J272" s="98"/>
    </row>
    <row r="273" spans="1:10" s="5" customFormat="1" ht="45.75" customHeight="1">
      <c r="A273" s="37" t="s">
        <v>209</v>
      </c>
      <c r="B273" s="8" t="s">
        <v>57</v>
      </c>
      <c r="C273" s="8" t="s">
        <v>25</v>
      </c>
      <c r="D273" s="8" t="s">
        <v>27</v>
      </c>
      <c r="E273" s="8" t="s">
        <v>196</v>
      </c>
      <c r="F273" s="8" t="s">
        <v>133</v>
      </c>
      <c r="G273" s="39">
        <f t="shared" si="25"/>
        <v>39.567999999999984</v>
      </c>
      <c r="H273" s="26">
        <f>358.544+0.359-0.304+22.068+17.5</f>
        <v>398.167</v>
      </c>
      <c r="I273" s="92">
        <v>358.599</v>
      </c>
      <c r="J273" s="98"/>
    </row>
    <row r="274" spans="1:10" s="5" customFormat="1" ht="45">
      <c r="A274" s="44" t="s">
        <v>87</v>
      </c>
      <c r="B274" s="8" t="s">
        <v>57</v>
      </c>
      <c r="C274" s="8" t="s">
        <v>25</v>
      </c>
      <c r="D274" s="8" t="s">
        <v>27</v>
      </c>
      <c r="E274" s="8" t="s">
        <v>196</v>
      </c>
      <c r="F274" s="8" t="s">
        <v>86</v>
      </c>
      <c r="G274" s="39">
        <f t="shared" si="25"/>
        <v>708.280999999999</v>
      </c>
      <c r="H274" s="120">
        <f>19897.966-104.502+22.665-28.838-64.495+8+56.101</f>
        <v>19786.897</v>
      </c>
      <c r="I274" s="120">
        <v>19078.616</v>
      </c>
      <c r="J274" s="98"/>
    </row>
    <row r="275" spans="1:10" s="5" customFormat="1" ht="45">
      <c r="A275" s="44" t="s">
        <v>394</v>
      </c>
      <c r="B275" s="8" t="s">
        <v>57</v>
      </c>
      <c r="C275" s="8" t="s">
        <v>25</v>
      </c>
      <c r="D275" s="8" t="s">
        <v>27</v>
      </c>
      <c r="E275" s="8" t="s">
        <v>196</v>
      </c>
      <c r="F275" s="8" t="s">
        <v>118</v>
      </c>
      <c r="G275" s="39">
        <f t="shared" si="25"/>
        <v>0</v>
      </c>
      <c r="H275" s="120">
        <f>35.206+3.811+11.465+9</f>
        <v>59.482</v>
      </c>
      <c r="I275" s="120">
        <v>59.482</v>
      </c>
      <c r="J275" s="98"/>
    </row>
    <row r="276" spans="1:10" s="5" customFormat="1" ht="45">
      <c r="A276" s="66" t="s">
        <v>386</v>
      </c>
      <c r="B276" s="8" t="s">
        <v>57</v>
      </c>
      <c r="C276" s="8" t="s">
        <v>25</v>
      </c>
      <c r="D276" s="8" t="s">
        <v>27</v>
      </c>
      <c r="E276" s="8" t="s">
        <v>196</v>
      </c>
      <c r="F276" s="8" t="s">
        <v>385</v>
      </c>
      <c r="G276" s="39">
        <f t="shared" si="25"/>
        <v>0</v>
      </c>
      <c r="H276" s="120">
        <v>30.36</v>
      </c>
      <c r="I276" s="120">
        <v>30.36</v>
      </c>
      <c r="J276" s="98"/>
    </row>
    <row r="277" spans="1:10" s="5" customFormat="1" ht="45">
      <c r="A277" s="44" t="s">
        <v>244</v>
      </c>
      <c r="B277" s="8" t="s">
        <v>57</v>
      </c>
      <c r="C277" s="8" t="s">
        <v>25</v>
      </c>
      <c r="D277" s="8" t="s">
        <v>27</v>
      </c>
      <c r="E277" s="8" t="s">
        <v>196</v>
      </c>
      <c r="F277" s="8" t="s">
        <v>98</v>
      </c>
      <c r="G277" s="39">
        <f t="shared" si="25"/>
        <v>359.399</v>
      </c>
      <c r="H277" s="120">
        <f>165.673-2+135.51+195.051+28.838</f>
        <v>523.072</v>
      </c>
      <c r="I277" s="120">
        <v>163.673</v>
      </c>
      <c r="J277" s="98"/>
    </row>
    <row r="278" spans="1:10" s="5" customFormat="1" ht="30">
      <c r="A278" s="44" t="s">
        <v>108</v>
      </c>
      <c r="B278" s="8" t="s">
        <v>57</v>
      </c>
      <c r="C278" s="8" t="s">
        <v>25</v>
      </c>
      <c r="D278" s="8" t="s">
        <v>27</v>
      </c>
      <c r="E278" s="8" t="s">
        <v>196</v>
      </c>
      <c r="F278" s="8" t="s">
        <v>106</v>
      </c>
      <c r="G278" s="39">
        <f t="shared" si="25"/>
        <v>-711.1479999999999</v>
      </c>
      <c r="H278" s="120">
        <f>1000-0.064-0.7-101.4-1.33-35.206-30-6.038-7.5-1.38-2-15.25-1.04-3.16-9-11.96-587.17+48.51-0.63-8-0.052-80-35.472-6-0.606-18.615-0.02-8.271-0.106-12.66-2.056</f>
        <v>62.82400000000004</v>
      </c>
      <c r="I278" s="120">
        <v>773.972</v>
      </c>
      <c r="J278" s="98"/>
    </row>
    <row r="279" spans="1:10" s="5" customFormat="1" ht="15">
      <c r="A279" s="45" t="s">
        <v>109</v>
      </c>
      <c r="B279" s="8" t="s">
        <v>57</v>
      </c>
      <c r="C279" s="8" t="s">
        <v>25</v>
      </c>
      <c r="D279" s="8" t="s">
        <v>27</v>
      </c>
      <c r="E279" s="8" t="s">
        <v>196</v>
      </c>
      <c r="F279" s="63" t="s">
        <v>107</v>
      </c>
      <c r="G279" s="39">
        <f t="shared" si="25"/>
        <v>8.605999999999995</v>
      </c>
      <c r="H279" s="120">
        <f>2+5.7+60+7.5+6+6+0.606+2</f>
        <v>89.806</v>
      </c>
      <c r="I279" s="120">
        <v>81.2</v>
      </c>
      <c r="J279" s="98"/>
    </row>
    <row r="280" spans="1:10" s="5" customFormat="1" ht="15">
      <c r="A280" s="45" t="s">
        <v>230</v>
      </c>
      <c r="B280" s="8" t="s">
        <v>57</v>
      </c>
      <c r="C280" s="8" t="s">
        <v>25</v>
      </c>
      <c r="D280" s="8" t="s">
        <v>27</v>
      </c>
      <c r="E280" s="8" t="s">
        <v>196</v>
      </c>
      <c r="F280" s="63" t="s">
        <v>228</v>
      </c>
      <c r="G280" s="39">
        <f t="shared" si="25"/>
        <v>14.814999999999998</v>
      </c>
      <c r="H280" s="120">
        <f>0.777+1.19+2.38+0.13+30+4.07+6.14+1.041+13.81+0.54+0.052+0.02+0.106+0.195+0.092</f>
        <v>60.543</v>
      </c>
      <c r="I280" s="120">
        <v>45.728</v>
      </c>
      <c r="J280" s="98"/>
    </row>
    <row r="281" spans="1:10" s="9" customFormat="1" ht="75" customHeight="1">
      <c r="A281" s="161" t="s">
        <v>299</v>
      </c>
      <c r="B281" s="18" t="s">
        <v>57</v>
      </c>
      <c r="C281" s="18" t="s">
        <v>25</v>
      </c>
      <c r="D281" s="18" t="s">
        <v>27</v>
      </c>
      <c r="E281" s="18" t="s">
        <v>197</v>
      </c>
      <c r="F281" s="18"/>
      <c r="G281" s="39">
        <f aca="true" t="shared" si="26" ref="G281:G297">H281-I281</f>
        <v>0</v>
      </c>
      <c r="H281" s="27">
        <f>H282+H287+H292</f>
        <v>84508.7</v>
      </c>
      <c r="I281" s="27">
        <f>I282+I287+I292</f>
        <v>84508.7</v>
      </c>
      <c r="J281" s="100"/>
    </row>
    <row r="282" spans="1:10" s="9" customFormat="1" ht="60">
      <c r="A282" s="45" t="s">
        <v>300</v>
      </c>
      <c r="B282" s="18" t="s">
        <v>57</v>
      </c>
      <c r="C282" s="18" t="s">
        <v>25</v>
      </c>
      <c r="D282" s="18" t="s">
        <v>27</v>
      </c>
      <c r="E282" s="18" t="s">
        <v>261</v>
      </c>
      <c r="F282" s="18"/>
      <c r="G282" s="39">
        <f t="shared" si="26"/>
        <v>0</v>
      </c>
      <c r="H282" s="27">
        <f>H284+H285+H283+H286</f>
        <v>62731.4</v>
      </c>
      <c r="I282" s="27">
        <f>I284+I285+I283+I286</f>
        <v>62731.4</v>
      </c>
      <c r="J282" s="100"/>
    </row>
    <row r="283" spans="1:10" s="9" customFormat="1" ht="15">
      <c r="A283" s="37" t="s">
        <v>208</v>
      </c>
      <c r="B283" s="18" t="s">
        <v>57</v>
      </c>
      <c r="C283" s="18" t="s">
        <v>25</v>
      </c>
      <c r="D283" s="18" t="s">
        <v>27</v>
      </c>
      <c r="E283" s="18" t="s">
        <v>261</v>
      </c>
      <c r="F283" s="18" t="s">
        <v>93</v>
      </c>
      <c r="G283" s="39">
        <f t="shared" si="26"/>
        <v>-100.69900000000052</v>
      </c>
      <c r="H283" s="27">
        <f>48180.8-100.699</f>
        <v>48080.101</v>
      </c>
      <c r="I283" s="95">
        <v>48180.8</v>
      </c>
      <c r="J283" s="100"/>
    </row>
    <row r="284" spans="1:10" s="9" customFormat="1" ht="30">
      <c r="A284" s="37" t="s">
        <v>104</v>
      </c>
      <c r="B284" s="18" t="s">
        <v>57</v>
      </c>
      <c r="C284" s="18" t="s">
        <v>25</v>
      </c>
      <c r="D284" s="18" t="s">
        <v>27</v>
      </c>
      <c r="E284" s="18" t="s">
        <v>261</v>
      </c>
      <c r="F284" s="18" t="s">
        <v>103</v>
      </c>
      <c r="G284" s="39">
        <f t="shared" si="26"/>
        <v>1.2</v>
      </c>
      <c r="H284" s="27">
        <f>1.8+0.8+0.4</f>
        <v>3</v>
      </c>
      <c r="I284" s="95">
        <v>1.8</v>
      </c>
      <c r="J284" s="100"/>
    </row>
    <row r="285" spans="1:10" s="9" customFormat="1" ht="46.5" customHeight="1">
      <c r="A285" s="37" t="s">
        <v>209</v>
      </c>
      <c r="B285" s="18" t="s">
        <v>57</v>
      </c>
      <c r="C285" s="18" t="s">
        <v>25</v>
      </c>
      <c r="D285" s="18" t="s">
        <v>27</v>
      </c>
      <c r="E285" s="18" t="s">
        <v>261</v>
      </c>
      <c r="F285" s="18" t="s">
        <v>133</v>
      </c>
      <c r="G285" s="39">
        <f t="shared" si="26"/>
        <v>-1.1999999999970896</v>
      </c>
      <c r="H285" s="27">
        <f>14550.6-1.8-0.8-0.4</f>
        <v>14547.600000000002</v>
      </c>
      <c r="I285" s="95">
        <v>14548.8</v>
      </c>
      <c r="J285" s="100"/>
    </row>
    <row r="286" spans="1:10" s="9" customFormat="1" ht="46.5" customHeight="1">
      <c r="A286" s="44" t="s">
        <v>394</v>
      </c>
      <c r="B286" s="18" t="s">
        <v>57</v>
      </c>
      <c r="C286" s="18" t="s">
        <v>25</v>
      </c>
      <c r="D286" s="18" t="s">
        <v>27</v>
      </c>
      <c r="E286" s="18" t="s">
        <v>261</v>
      </c>
      <c r="F286" s="18" t="s">
        <v>118</v>
      </c>
      <c r="G286" s="39">
        <f t="shared" si="26"/>
        <v>100.699</v>
      </c>
      <c r="H286" s="27">
        <f>100.699</f>
        <v>100.699</v>
      </c>
      <c r="I286" s="95"/>
      <c r="J286" s="100"/>
    </row>
    <row r="287" spans="1:10" s="9" customFormat="1" ht="60">
      <c r="A287" s="66" t="s">
        <v>301</v>
      </c>
      <c r="B287" s="18" t="s">
        <v>57</v>
      </c>
      <c r="C287" s="18" t="s">
        <v>25</v>
      </c>
      <c r="D287" s="18" t="s">
        <v>27</v>
      </c>
      <c r="E287" s="18" t="s">
        <v>262</v>
      </c>
      <c r="F287" s="18"/>
      <c r="G287" s="39">
        <f t="shared" si="26"/>
        <v>0</v>
      </c>
      <c r="H287" s="27">
        <f>H288+H289+H290+H291</f>
        <v>17693.5</v>
      </c>
      <c r="I287" s="27">
        <f>I288+I289+I290+I291</f>
        <v>17693.5</v>
      </c>
      <c r="J287" s="100"/>
    </row>
    <row r="288" spans="1:10" s="9" customFormat="1" ht="15">
      <c r="A288" s="37" t="s">
        <v>208</v>
      </c>
      <c r="B288" s="18" t="s">
        <v>57</v>
      </c>
      <c r="C288" s="18" t="s">
        <v>25</v>
      </c>
      <c r="D288" s="18" t="s">
        <v>27</v>
      </c>
      <c r="E288" s="18" t="s">
        <v>262</v>
      </c>
      <c r="F288" s="18" t="s">
        <v>93</v>
      </c>
      <c r="G288" s="39">
        <f t="shared" si="26"/>
        <v>-56.425999999999476</v>
      </c>
      <c r="H288" s="27">
        <f>13589.5-9-47.426</f>
        <v>13533.074</v>
      </c>
      <c r="I288" s="95">
        <v>13589.5</v>
      </c>
      <c r="J288" s="100"/>
    </row>
    <row r="289" spans="1:10" s="9" customFormat="1" ht="30">
      <c r="A289" s="37" t="s">
        <v>104</v>
      </c>
      <c r="B289" s="18" t="s">
        <v>57</v>
      </c>
      <c r="C289" s="18" t="s">
        <v>25</v>
      </c>
      <c r="D289" s="18" t="s">
        <v>27</v>
      </c>
      <c r="E289" s="18" t="s">
        <v>262</v>
      </c>
      <c r="F289" s="18" t="s">
        <v>103</v>
      </c>
      <c r="G289" s="39">
        <f t="shared" si="26"/>
        <v>0.3</v>
      </c>
      <c r="H289" s="27">
        <f>0.3+0.3</f>
        <v>0.6</v>
      </c>
      <c r="I289" s="95">
        <v>0.3</v>
      </c>
      <c r="J289" s="100"/>
    </row>
    <row r="290" spans="1:10" s="9" customFormat="1" ht="46.5" customHeight="1">
      <c r="A290" s="37" t="s">
        <v>209</v>
      </c>
      <c r="B290" s="18" t="s">
        <v>57</v>
      </c>
      <c r="C290" s="18" t="s">
        <v>25</v>
      </c>
      <c r="D290" s="18" t="s">
        <v>27</v>
      </c>
      <c r="E290" s="18" t="s">
        <v>262</v>
      </c>
      <c r="F290" s="18" t="s">
        <v>133</v>
      </c>
      <c r="G290" s="39">
        <f t="shared" si="26"/>
        <v>-0.3000000000001819</v>
      </c>
      <c r="H290" s="27">
        <f>4104-0.3-0.3</f>
        <v>4103.4</v>
      </c>
      <c r="I290" s="95">
        <v>4103.7</v>
      </c>
      <c r="J290" s="100"/>
    </row>
    <row r="291" spans="1:10" s="9" customFormat="1" ht="46.5" customHeight="1">
      <c r="A291" s="44" t="s">
        <v>394</v>
      </c>
      <c r="B291" s="18" t="s">
        <v>57</v>
      </c>
      <c r="C291" s="18" t="s">
        <v>25</v>
      </c>
      <c r="D291" s="18" t="s">
        <v>27</v>
      </c>
      <c r="E291" s="18" t="s">
        <v>262</v>
      </c>
      <c r="F291" s="18" t="s">
        <v>118</v>
      </c>
      <c r="G291" s="39">
        <f t="shared" si="26"/>
        <v>56.426</v>
      </c>
      <c r="H291" s="27">
        <f>9+47.426</f>
        <v>56.426</v>
      </c>
      <c r="I291" s="95"/>
      <c r="J291" s="100"/>
    </row>
    <row r="292" spans="1:10" s="9" customFormat="1" ht="60">
      <c r="A292" s="66" t="s">
        <v>302</v>
      </c>
      <c r="B292" s="18" t="s">
        <v>57</v>
      </c>
      <c r="C292" s="18" t="s">
        <v>25</v>
      </c>
      <c r="D292" s="18" t="s">
        <v>27</v>
      </c>
      <c r="E292" s="18" t="s">
        <v>263</v>
      </c>
      <c r="F292" s="18"/>
      <c r="G292" s="39">
        <f t="shared" si="26"/>
        <v>0</v>
      </c>
      <c r="H292" s="27">
        <f>H293</f>
        <v>4083.8</v>
      </c>
      <c r="I292" s="27">
        <f>I293</f>
        <v>4083.8</v>
      </c>
      <c r="J292" s="100"/>
    </row>
    <row r="293" spans="1:10" s="9" customFormat="1" ht="46.5" customHeight="1">
      <c r="A293" s="44" t="s">
        <v>87</v>
      </c>
      <c r="B293" s="18" t="s">
        <v>57</v>
      </c>
      <c r="C293" s="18" t="s">
        <v>25</v>
      </c>
      <c r="D293" s="18" t="s">
        <v>27</v>
      </c>
      <c r="E293" s="18" t="s">
        <v>263</v>
      </c>
      <c r="F293" s="18" t="s">
        <v>86</v>
      </c>
      <c r="G293" s="39">
        <f t="shared" si="26"/>
        <v>0</v>
      </c>
      <c r="H293" s="27">
        <v>4083.8</v>
      </c>
      <c r="I293" s="95">
        <v>4083.8</v>
      </c>
      <c r="J293" s="100"/>
    </row>
    <row r="294" spans="1:10" s="9" customFormat="1" ht="60">
      <c r="A294" s="33" t="s">
        <v>303</v>
      </c>
      <c r="B294" s="18" t="s">
        <v>57</v>
      </c>
      <c r="C294" s="18" t="s">
        <v>25</v>
      </c>
      <c r="D294" s="18" t="s">
        <v>27</v>
      </c>
      <c r="E294" s="18" t="s">
        <v>408</v>
      </c>
      <c r="F294" s="18"/>
      <c r="G294" s="39">
        <f t="shared" si="26"/>
        <v>0</v>
      </c>
      <c r="H294" s="27">
        <f>H295</f>
        <v>656</v>
      </c>
      <c r="I294" s="27">
        <f>I295</f>
        <v>656</v>
      </c>
      <c r="J294" s="153"/>
    </row>
    <row r="295" spans="1:10" s="9" customFormat="1" ht="45">
      <c r="A295" s="37" t="s">
        <v>87</v>
      </c>
      <c r="B295" s="18" t="s">
        <v>57</v>
      </c>
      <c r="C295" s="18" t="s">
        <v>25</v>
      </c>
      <c r="D295" s="18" t="s">
        <v>27</v>
      </c>
      <c r="E295" s="18" t="s">
        <v>408</v>
      </c>
      <c r="F295" s="18" t="s">
        <v>86</v>
      </c>
      <c r="G295" s="39">
        <f t="shared" si="26"/>
        <v>0</v>
      </c>
      <c r="H295" s="27">
        <v>656</v>
      </c>
      <c r="I295" s="27">
        <v>656</v>
      </c>
      <c r="J295" s="153"/>
    </row>
    <row r="296" spans="1:10" s="9" customFormat="1" ht="60">
      <c r="A296" s="37" t="s">
        <v>410</v>
      </c>
      <c r="B296" s="18" t="s">
        <v>57</v>
      </c>
      <c r="C296" s="18" t="s">
        <v>25</v>
      </c>
      <c r="D296" s="18" t="s">
        <v>27</v>
      </c>
      <c r="E296" s="18" t="s">
        <v>409</v>
      </c>
      <c r="F296" s="18"/>
      <c r="G296" s="39">
        <f t="shared" si="26"/>
        <v>100</v>
      </c>
      <c r="H296" s="27">
        <f>H297</f>
        <v>100</v>
      </c>
      <c r="I296" s="27">
        <f>I297</f>
        <v>0</v>
      </c>
      <c r="J296" s="153"/>
    </row>
    <row r="297" spans="1:10" s="9" customFormat="1" ht="45">
      <c r="A297" s="37" t="s">
        <v>87</v>
      </c>
      <c r="B297" s="18" t="s">
        <v>57</v>
      </c>
      <c r="C297" s="18" t="s">
        <v>25</v>
      </c>
      <c r="D297" s="18" t="s">
        <v>27</v>
      </c>
      <c r="E297" s="18" t="s">
        <v>409</v>
      </c>
      <c r="F297" s="18" t="s">
        <v>86</v>
      </c>
      <c r="G297" s="39">
        <f t="shared" si="26"/>
        <v>100</v>
      </c>
      <c r="H297" s="27">
        <v>100</v>
      </c>
      <c r="I297" s="27"/>
      <c r="J297" s="153"/>
    </row>
    <row r="298" spans="1:10" s="5" customFormat="1" ht="30">
      <c r="A298" s="80" t="s">
        <v>92</v>
      </c>
      <c r="B298" s="8" t="s">
        <v>57</v>
      </c>
      <c r="C298" s="8" t="s">
        <v>25</v>
      </c>
      <c r="D298" s="8" t="s">
        <v>27</v>
      </c>
      <c r="E298" s="8" t="s">
        <v>140</v>
      </c>
      <c r="F298" s="63"/>
      <c r="G298" s="39">
        <f aca="true" t="shared" si="27" ref="G298:G330">H298-I298</f>
        <v>65.73499999999967</v>
      </c>
      <c r="H298" s="26">
        <f>H303+H299+H301</f>
        <v>7011.035000000001</v>
      </c>
      <c r="I298" s="26">
        <f>I303+I299+I301</f>
        <v>6945.300000000001</v>
      </c>
      <c r="J298" s="98"/>
    </row>
    <row r="299" spans="1:10" s="9" customFormat="1" ht="48.75" customHeight="1">
      <c r="A299" s="45" t="s">
        <v>304</v>
      </c>
      <c r="B299" s="18" t="s">
        <v>57</v>
      </c>
      <c r="C299" s="18" t="s">
        <v>25</v>
      </c>
      <c r="D299" s="18" t="s">
        <v>27</v>
      </c>
      <c r="E299" s="18" t="s">
        <v>200</v>
      </c>
      <c r="F299" s="18"/>
      <c r="G299" s="39">
        <f t="shared" si="27"/>
        <v>0</v>
      </c>
      <c r="H299" s="27">
        <f>H300</f>
        <v>5320.3</v>
      </c>
      <c r="I299" s="27">
        <f>I300</f>
        <v>5320.3</v>
      </c>
      <c r="J299" s="100"/>
    </row>
    <row r="300" spans="1:10" s="9" customFormat="1" ht="30">
      <c r="A300" s="37" t="s">
        <v>241</v>
      </c>
      <c r="B300" s="18" t="s">
        <v>57</v>
      </c>
      <c r="C300" s="18" t="s">
        <v>25</v>
      </c>
      <c r="D300" s="18" t="s">
        <v>27</v>
      </c>
      <c r="E300" s="18" t="s">
        <v>200</v>
      </c>
      <c r="F300" s="18" t="s">
        <v>242</v>
      </c>
      <c r="G300" s="39">
        <f t="shared" si="27"/>
        <v>0</v>
      </c>
      <c r="H300" s="27">
        <f>3978+1342.3</f>
        <v>5320.3</v>
      </c>
      <c r="I300" s="95">
        <v>5320.3</v>
      </c>
      <c r="J300" s="100"/>
    </row>
    <row r="301" spans="1:11" s="5" customFormat="1" ht="91.5" customHeight="1">
      <c r="A301" s="44" t="s">
        <v>217</v>
      </c>
      <c r="B301" s="14" t="s">
        <v>57</v>
      </c>
      <c r="C301" s="14" t="s">
        <v>25</v>
      </c>
      <c r="D301" s="14" t="s">
        <v>27</v>
      </c>
      <c r="E301" s="14" t="s">
        <v>172</v>
      </c>
      <c r="F301" s="14"/>
      <c r="G301" s="39">
        <f t="shared" si="27"/>
        <v>65.7349999999999</v>
      </c>
      <c r="H301" s="27">
        <f>H302</f>
        <v>1657.135</v>
      </c>
      <c r="I301" s="95">
        <f>I302</f>
        <v>1591.4</v>
      </c>
      <c r="J301" s="98"/>
      <c r="K301" s="28"/>
    </row>
    <row r="302" spans="1:11" s="5" customFormat="1" ht="15">
      <c r="A302" s="44" t="s">
        <v>16</v>
      </c>
      <c r="B302" s="14" t="s">
        <v>57</v>
      </c>
      <c r="C302" s="14" t="s">
        <v>25</v>
      </c>
      <c r="D302" s="14" t="s">
        <v>27</v>
      </c>
      <c r="E302" s="14" t="s">
        <v>172</v>
      </c>
      <c r="F302" s="14" t="s">
        <v>96</v>
      </c>
      <c r="G302" s="39">
        <f t="shared" si="27"/>
        <v>65.7349999999999</v>
      </c>
      <c r="H302" s="27">
        <f>1311.8+279.6+65.735</f>
        <v>1657.135</v>
      </c>
      <c r="I302" s="95">
        <v>1591.4</v>
      </c>
      <c r="J302" s="98"/>
      <c r="K302" s="28"/>
    </row>
    <row r="303" spans="1:10" s="5" customFormat="1" ht="75">
      <c r="A303" s="45" t="s">
        <v>221</v>
      </c>
      <c r="B303" s="8" t="s">
        <v>57</v>
      </c>
      <c r="C303" s="8" t="s">
        <v>25</v>
      </c>
      <c r="D303" s="8" t="s">
        <v>27</v>
      </c>
      <c r="E303" s="8" t="s">
        <v>220</v>
      </c>
      <c r="F303" s="8"/>
      <c r="G303" s="39">
        <f t="shared" si="27"/>
        <v>0</v>
      </c>
      <c r="H303" s="26">
        <f>H305+H304</f>
        <v>33.6</v>
      </c>
      <c r="I303" s="26">
        <f>I305+I304</f>
        <v>33.6</v>
      </c>
      <c r="J303" s="98"/>
    </row>
    <row r="304" spans="1:10" s="5" customFormat="1" ht="15">
      <c r="A304" s="45" t="s">
        <v>208</v>
      </c>
      <c r="B304" s="8" t="s">
        <v>57</v>
      </c>
      <c r="C304" s="8" t="s">
        <v>25</v>
      </c>
      <c r="D304" s="8" t="s">
        <v>27</v>
      </c>
      <c r="E304" s="8" t="s">
        <v>220</v>
      </c>
      <c r="F304" s="8" t="s">
        <v>93</v>
      </c>
      <c r="G304" s="39">
        <f t="shared" si="27"/>
        <v>0</v>
      </c>
      <c r="H304" s="26">
        <v>26</v>
      </c>
      <c r="I304" s="92">
        <v>26</v>
      </c>
      <c r="J304" s="98"/>
    </row>
    <row r="305" spans="1:10" s="5" customFormat="1" ht="45" customHeight="1">
      <c r="A305" s="37" t="s">
        <v>209</v>
      </c>
      <c r="B305" s="8" t="s">
        <v>57</v>
      </c>
      <c r="C305" s="8" t="s">
        <v>25</v>
      </c>
      <c r="D305" s="8" t="s">
        <v>27</v>
      </c>
      <c r="E305" s="8" t="s">
        <v>220</v>
      </c>
      <c r="F305" s="8" t="s">
        <v>133</v>
      </c>
      <c r="G305" s="39">
        <f t="shared" si="27"/>
        <v>0</v>
      </c>
      <c r="H305" s="26">
        <v>7.6</v>
      </c>
      <c r="I305" s="92">
        <v>7.6</v>
      </c>
      <c r="J305" s="98"/>
    </row>
    <row r="306" spans="1:11" s="5" customFormat="1" ht="15">
      <c r="A306" s="36" t="s">
        <v>234</v>
      </c>
      <c r="B306" s="7" t="s">
        <v>57</v>
      </c>
      <c r="C306" s="7" t="s">
        <v>25</v>
      </c>
      <c r="D306" s="7" t="s">
        <v>23</v>
      </c>
      <c r="E306" s="14"/>
      <c r="F306" s="14"/>
      <c r="G306" s="39">
        <f t="shared" si="27"/>
        <v>-923.3239999999969</v>
      </c>
      <c r="H306" s="24">
        <f>H307+H311+H316+H321+H332</f>
        <v>10053.122000000001</v>
      </c>
      <c r="I306" s="24">
        <f>I307+I311+I316+I321+I332</f>
        <v>10976.445999999998</v>
      </c>
      <c r="J306" s="107"/>
      <c r="K306" s="28"/>
    </row>
    <row r="307" spans="1:10" s="5" customFormat="1" ht="99.75">
      <c r="A307" s="142" t="s">
        <v>324</v>
      </c>
      <c r="B307" s="8" t="s">
        <v>57</v>
      </c>
      <c r="C307" s="8" t="s">
        <v>25</v>
      </c>
      <c r="D307" s="8" t="s">
        <v>23</v>
      </c>
      <c r="E307" s="8" t="s">
        <v>170</v>
      </c>
      <c r="F307" s="8"/>
      <c r="G307" s="39">
        <f t="shared" si="27"/>
        <v>0</v>
      </c>
      <c r="H307" s="26">
        <f>H308</f>
        <v>3575</v>
      </c>
      <c r="I307" s="92">
        <f>I308</f>
        <v>3575</v>
      </c>
      <c r="J307" s="97"/>
    </row>
    <row r="308" spans="1:10" s="5" customFormat="1" ht="18" customHeight="1">
      <c r="A308" s="45" t="s">
        <v>124</v>
      </c>
      <c r="B308" s="8" t="s">
        <v>57</v>
      </c>
      <c r="C308" s="8" t="s">
        <v>25</v>
      </c>
      <c r="D308" s="8" t="s">
        <v>23</v>
      </c>
      <c r="E308" s="8" t="s">
        <v>171</v>
      </c>
      <c r="F308" s="8"/>
      <c r="G308" s="39">
        <f t="shared" si="27"/>
        <v>0</v>
      </c>
      <c r="H308" s="26">
        <f>H309+H310</f>
        <v>3575</v>
      </c>
      <c r="I308" s="26">
        <f>I309+I310</f>
        <v>3575</v>
      </c>
      <c r="J308" s="97"/>
    </row>
    <row r="309" spans="1:10" s="5" customFormat="1" ht="45" customHeight="1">
      <c r="A309" s="78" t="s">
        <v>94</v>
      </c>
      <c r="B309" s="8" t="s">
        <v>57</v>
      </c>
      <c r="C309" s="8" t="s">
        <v>25</v>
      </c>
      <c r="D309" s="8" t="s">
        <v>23</v>
      </c>
      <c r="E309" s="8" t="s">
        <v>171</v>
      </c>
      <c r="F309" s="8" t="s">
        <v>70</v>
      </c>
      <c r="G309" s="39">
        <f t="shared" si="27"/>
        <v>0</v>
      </c>
      <c r="H309" s="26">
        <f>3425+100+50</f>
        <v>3575</v>
      </c>
      <c r="I309" s="92">
        <v>3575</v>
      </c>
      <c r="J309" s="98"/>
    </row>
    <row r="310" spans="1:10" s="5" customFormat="1" ht="15" hidden="1">
      <c r="A310" s="78" t="s">
        <v>73</v>
      </c>
      <c r="B310" s="8" t="s">
        <v>57</v>
      </c>
      <c r="C310" s="8" t="s">
        <v>25</v>
      </c>
      <c r="D310" s="8" t="s">
        <v>23</v>
      </c>
      <c r="E310" s="8" t="s">
        <v>171</v>
      </c>
      <c r="F310" s="14" t="s">
        <v>72</v>
      </c>
      <c r="G310" s="39">
        <f t="shared" si="27"/>
        <v>0</v>
      </c>
      <c r="H310" s="26"/>
      <c r="I310" s="92"/>
      <c r="J310" s="98"/>
    </row>
    <row r="311" spans="1:10" s="16" customFormat="1" ht="44.25" customHeight="1">
      <c r="A311" s="138" t="s">
        <v>328</v>
      </c>
      <c r="B311" s="8" t="s">
        <v>57</v>
      </c>
      <c r="C311" s="8" t="s">
        <v>25</v>
      </c>
      <c r="D311" s="8" t="s">
        <v>23</v>
      </c>
      <c r="E311" s="8" t="s">
        <v>192</v>
      </c>
      <c r="F311" s="20"/>
      <c r="G311" s="39">
        <f t="shared" si="27"/>
        <v>0</v>
      </c>
      <c r="H311" s="27">
        <f>H312</f>
        <v>105.6</v>
      </c>
      <c r="I311" s="27">
        <f>I312</f>
        <v>105.6</v>
      </c>
      <c r="J311" s="160"/>
    </row>
    <row r="312" spans="1:10" s="16" customFormat="1" ht="30.75" customHeight="1">
      <c r="A312" s="154" t="s">
        <v>305</v>
      </c>
      <c r="B312" s="155" t="s">
        <v>57</v>
      </c>
      <c r="C312" s="155" t="s">
        <v>25</v>
      </c>
      <c r="D312" s="155" t="s">
        <v>23</v>
      </c>
      <c r="E312" s="155" t="s">
        <v>355</v>
      </c>
      <c r="F312" s="63"/>
      <c r="G312" s="39">
        <f t="shared" si="27"/>
        <v>0</v>
      </c>
      <c r="H312" s="27">
        <f>H315+H313+H314</f>
        <v>105.6</v>
      </c>
      <c r="I312" s="27">
        <f>I315+I313+I314</f>
        <v>105.6</v>
      </c>
      <c r="J312" s="160"/>
    </row>
    <row r="313" spans="1:10" s="16" customFormat="1" ht="14.25" customHeight="1" hidden="1">
      <c r="A313" s="37" t="s">
        <v>208</v>
      </c>
      <c r="B313" s="155" t="s">
        <v>57</v>
      </c>
      <c r="C313" s="155" t="s">
        <v>25</v>
      </c>
      <c r="D313" s="155" t="s">
        <v>23</v>
      </c>
      <c r="E313" s="155" t="s">
        <v>355</v>
      </c>
      <c r="F313" s="63" t="s">
        <v>93</v>
      </c>
      <c r="G313" s="39">
        <f t="shared" si="27"/>
        <v>0</v>
      </c>
      <c r="H313" s="27"/>
      <c r="I313" s="27"/>
      <c r="J313" s="160"/>
    </row>
    <row r="314" spans="1:10" s="16" customFormat="1" ht="48" customHeight="1" hidden="1">
      <c r="A314" s="37" t="s">
        <v>209</v>
      </c>
      <c r="B314" s="155" t="s">
        <v>57</v>
      </c>
      <c r="C314" s="155" t="s">
        <v>25</v>
      </c>
      <c r="D314" s="155" t="s">
        <v>23</v>
      </c>
      <c r="E314" s="155" t="s">
        <v>355</v>
      </c>
      <c r="F314" s="63" t="s">
        <v>133</v>
      </c>
      <c r="G314" s="39">
        <f t="shared" si="27"/>
        <v>0</v>
      </c>
      <c r="H314" s="27"/>
      <c r="I314" s="27"/>
      <c r="J314" s="160"/>
    </row>
    <row r="315" spans="1:10" s="16" customFormat="1" ht="45">
      <c r="A315" s="156" t="s">
        <v>87</v>
      </c>
      <c r="B315" s="155" t="s">
        <v>57</v>
      </c>
      <c r="C315" s="155" t="s">
        <v>25</v>
      </c>
      <c r="D315" s="155" t="s">
        <v>23</v>
      </c>
      <c r="E315" s="155" t="s">
        <v>355</v>
      </c>
      <c r="F315" s="63" t="s">
        <v>86</v>
      </c>
      <c r="G315" s="39">
        <f t="shared" si="27"/>
        <v>0</v>
      </c>
      <c r="H315" s="27">
        <v>105.6</v>
      </c>
      <c r="I315" s="27">
        <v>105.6</v>
      </c>
      <c r="J315" s="160"/>
    </row>
    <row r="316" spans="1:10" s="16" customFormat="1" ht="46.5" customHeight="1">
      <c r="A316" s="138" t="s">
        <v>329</v>
      </c>
      <c r="B316" s="8" t="s">
        <v>57</v>
      </c>
      <c r="C316" s="8" t="s">
        <v>25</v>
      </c>
      <c r="D316" s="8" t="s">
        <v>23</v>
      </c>
      <c r="E316" s="8" t="s">
        <v>195</v>
      </c>
      <c r="F316" s="20"/>
      <c r="G316" s="39">
        <f t="shared" si="27"/>
        <v>0</v>
      </c>
      <c r="H316" s="27">
        <f>H317</f>
        <v>163.2</v>
      </c>
      <c r="I316" s="27">
        <f>I317</f>
        <v>163.2</v>
      </c>
      <c r="J316" s="160"/>
    </row>
    <row r="317" spans="1:10" s="16" customFormat="1" ht="30.75" customHeight="1">
      <c r="A317" s="154" t="s">
        <v>305</v>
      </c>
      <c r="B317" s="155" t="s">
        <v>57</v>
      </c>
      <c r="C317" s="155" t="s">
        <v>25</v>
      </c>
      <c r="D317" s="155" t="s">
        <v>23</v>
      </c>
      <c r="E317" s="155" t="s">
        <v>343</v>
      </c>
      <c r="F317" s="63"/>
      <c r="G317" s="39">
        <f t="shared" si="27"/>
        <v>0</v>
      </c>
      <c r="H317" s="27">
        <f>H320+H318+H319</f>
        <v>163.2</v>
      </c>
      <c r="I317" s="27">
        <f>I320+I318+I319</f>
        <v>163.2</v>
      </c>
      <c r="J317" s="160"/>
    </row>
    <row r="318" spans="1:10" s="16" customFormat="1" ht="15" hidden="1">
      <c r="A318" s="37" t="s">
        <v>208</v>
      </c>
      <c r="B318" s="155" t="s">
        <v>57</v>
      </c>
      <c r="C318" s="155" t="s">
        <v>25</v>
      </c>
      <c r="D318" s="155" t="s">
        <v>23</v>
      </c>
      <c r="E318" s="155" t="s">
        <v>343</v>
      </c>
      <c r="F318" s="63" t="s">
        <v>93</v>
      </c>
      <c r="G318" s="39">
        <f t="shared" si="27"/>
        <v>0</v>
      </c>
      <c r="H318" s="27"/>
      <c r="I318" s="27"/>
      <c r="J318" s="160"/>
    </row>
    <row r="319" spans="1:10" s="16" customFormat="1" ht="46.5" customHeight="1" hidden="1">
      <c r="A319" s="37" t="s">
        <v>209</v>
      </c>
      <c r="B319" s="155" t="s">
        <v>57</v>
      </c>
      <c r="C319" s="155" t="s">
        <v>25</v>
      </c>
      <c r="D319" s="155" t="s">
        <v>23</v>
      </c>
      <c r="E319" s="155" t="s">
        <v>343</v>
      </c>
      <c r="F319" s="63" t="s">
        <v>133</v>
      </c>
      <c r="G319" s="39">
        <f t="shared" si="27"/>
        <v>0</v>
      </c>
      <c r="H319" s="27"/>
      <c r="I319" s="27"/>
      <c r="J319" s="160"/>
    </row>
    <row r="320" spans="1:10" s="16" customFormat="1" ht="45">
      <c r="A320" s="156" t="s">
        <v>87</v>
      </c>
      <c r="B320" s="155" t="s">
        <v>57</v>
      </c>
      <c r="C320" s="155" t="s">
        <v>25</v>
      </c>
      <c r="D320" s="155" t="s">
        <v>23</v>
      </c>
      <c r="E320" s="155" t="s">
        <v>343</v>
      </c>
      <c r="F320" s="63" t="s">
        <v>86</v>
      </c>
      <c r="G320" s="39">
        <f t="shared" si="27"/>
        <v>0</v>
      </c>
      <c r="H320" s="27">
        <v>163.2</v>
      </c>
      <c r="I320" s="27">
        <v>163.2</v>
      </c>
      <c r="J320" s="160"/>
    </row>
    <row r="321" spans="1:10" s="5" customFormat="1" ht="45.75" customHeight="1">
      <c r="A321" s="139" t="s">
        <v>331</v>
      </c>
      <c r="B321" s="8" t="s">
        <v>57</v>
      </c>
      <c r="C321" s="8" t="s">
        <v>25</v>
      </c>
      <c r="D321" s="8" t="s">
        <v>23</v>
      </c>
      <c r="E321" s="8" t="s">
        <v>198</v>
      </c>
      <c r="F321" s="8"/>
      <c r="G321" s="39">
        <f t="shared" si="27"/>
        <v>-923.3239999999978</v>
      </c>
      <c r="H321" s="26">
        <f>H322</f>
        <v>6185.022000000002</v>
      </c>
      <c r="I321" s="26">
        <f>I322</f>
        <v>7108.346</v>
      </c>
      <c r="J321" s="86"/>
    </row>
    <row r="322" spans="1:10" s="5" customFormat="1" ht="33" customHeight="1">
      <c r="A322" s="44" t="s">
        <v>235</v>
      </c>
      <c r="B322" s="8" t="s">
        <v>57</v>
      </c>
      <c r="C322" s="8" t="s">
        <v>25</v>
      </c>
      <c r="D322" s="8" t="s">
        <v>23</v>
      </c>
      <c r="E322" s="8" t="s">
        <v>199</v>
      </c>
      <c r="F322" s="63"/>
      <c r="G322" s="39">
        <f t="shared" si="27"/>
        <v>-923.3239999999978</v>
      </c>
      <c r="H322" s="26">
        <f>H323+H324+H327+H329+H330+H328+H326+H325+H331</f>
        <v>6185.022000000002</v>
      </c>
      <c r="I322" s="26">
        <f>I323+I324+I327+I329+I330+I328+I326+I325+I331</f>
        <v>7108.346</v>
      </c>
      <c r="J322" s="103"/>
    </row>
    <row r="323" spans="1:10" s="5" customFormat="1" ht="15">
      <c r="A323" s="37" t="s">
        <v>208</v>
      </c>
      <c r="B323" s="8" t="s">
        <v>57</v>
      </c>
      <c r="C323" s="8" t="s">
        <v>25</v>
      </c>
      <c r="D323" s="8" t="s">
        <v>23</v>
      </c>
      <c r="E323" s="8" t="s">
        <v>199</v>
      </c>
      <c r="F323" s="8" t="s">
        <v>93</v>
      </c>
      <c r="G323" s="39">
        <f t="shared" si="27"/>
        <v>-545.1500000000001</v>
      </c>
      <c r="H323" s="120">
        <f>4299.6-180+32-40-545.15</f>
        <v>3566.4500000000003</v>
      </c>
      <c r="I323" s="120">
        <v>4111.6</v>
      </c>
      <c r="J323" s="86"/>
    </row>
    <row r="324" spans="1:10" s="5" customFormat="1" ht="30">
      <c r="A324" s="37" t="s">
        <v>104</v>
      </c>
      <c r="B324" s="8" t="s">
        <v>57</v>
      </c>
      <c r="C324" s="8" t="s">
        <v>25</v>
      </c>
      <c r="D324" s="8" t="s">
        <v>23</v>
      </c>
      <c r="E324" s="8" t="s">
        <v>199</v>
      </c>
      <c r="F324" s="8" t="s">
        <v>103</v>
      </c>
      <c r="G324" s="39">
        <f t="shared" si="27"/>
        <v>-6.414999999999999</v>
      </c>
      <c r="H324" s="120">
        <f>50+20+0.3-10-17.1-10.65+20-0.81-0.01-20+9-3.62-3.8+0.3-2.915</f>
        <v>30.695</v>
      </c>
      <c r="I324" s="120">
        <v>37.11</v>
      </c>
      <c r="J324" s="86"/>
    </row>
    <row r="325" spans="1:10" s="5" customFormat="1" ht="60">
      <c r="A325" s="33" t="s">
        <v>233</v>
      </c>
      <c r="B325" s="8" t="s">
        <v>57</v>
      </c>
      <c r="C325" s="8" t="s">
        <v>25</v>
      </c>
      <c r="D325" s="8" t="s">
        <v>23</v>
      </c>
      <c r="E325" s="8" t="s">
        <v>199</v>
      </c>
      <c r="F325" s="8" t="s">
        <v>232</v>
      </c>
      <c r="G325" s="39">
        <f t="shared" si="27"/>
        <v>-28.882000000000005</v>
      </c>
      <c r="H325" s="120">
        <f>17.1+20.65+62-28.882</f>
        <v>70.868</v>
      </c>
      <c r="I325" s="120">
        <v>99.75</v>
      </c>
      <c r="J325" s="86"/>
    </row>
    <row r="326" spans="1:10" s="5" customFormat="1" ht="50.25" customHeight="1">
      <c r="A326" s="37" t="s">
        <v>209</v>
      </c>
      <c r="B326" s="8" t="s">
        <v>57</v>
      </c>
      <c r="C326" s="8" t="s">
        <v>25</v>
      </c>
      <c r="D326" s="8" t="s">
        <v>23</v>
      </c>
      <c r="E326" s="8" t="s">
        <v>199</v>
      </c>
      <c r="F326" s="8" t="s">
        <v>133</v>
      </c>
      <c r="G326" s="39">
        <f t="shared" si="27"/>
        <v>75.70000000000005</v>
      </c>
      <c r="H326" s="120">
        <f>1298.5-54-0.3-0.055-12-0.3+76</f>
        <v>1307.845</v>
      </c>
      <c r="I326" s="120">
        <v>1232.145</v>
      </c>
      <c r="J326" s="86"/>
    </row>
    <row r="327" spans="1:10" s="5" customFormat="1" ht="45">
      <c r="A327" s="37" t="s">
        <v>87</v>
      </c>
      <c r="B327" s="8" t="s">
        <v>57</v>
      </c>
      <c r="C327" s="8" t="s">
        <v>25</v>
      </c>
      <c r="D327" s="8" t="s">
        <v>23</v>
      </c>
      <c r="E327" s="8" t="s">
        <v>199</v>
      </c>
      <c r="F327" s="63" t="s">
        <v>86</v>
      </c>
      <c r="G327" s="39">
        <f t="shared" si="27"/>
        <v>50.06300000000033</v>
      </c>
      <c r="H327" s="120">
        <f>1050+12.54+80+10+1.93+1.226-1.36+20-7.5-9-20+3.8+138-92.447+3.8-3.09</f>
        <v>1187.8990000000003</v>
      </c>
      <c r="I327" s="120">
        <v>1137.836</v>
      </c>
      <c r="J327" s="86"/>
    </row>
    <row r="328" spans="1:10" s="5" customFormat="1" ht="45" hidden="1">
      <c r="A328" s="66" t="s">
        <v>244</v>
      </c>
      <c r="B328" s="8" t="s">
        <v>60</v>
      </c>
      <c r="C328" s="8" t="s">
        <v>25</v>
      </c>
      <c r="D328" s="8" t="s">
        <v>23</v>
      </c>
      <c r="E328" s="8" t="s">
        <v>199</v>
      </c>
      <c r="F328" s="63" t="s">
        <v>98</v>
      </c>
      <c r="G328" s="39">
        <f t="shared" si="27"/>
        <v>0</v>
      </c>
      <c r="H328" s="120"/>
      <c r="I328" s="120"/>
      <c r="J328" s="86"/>
    </row>
    <row r="329" spans="1:10" s="5" customFormat="1" ht="30">
      <c r="A329" s="66" t="s">
        <v>108</v>
      </c>
      <c r="B329" s="8" t="s">
        <v>57</v>
      </c>
      <c r="C329" s="8" t="s">
        <v>25</v>
      </c>
      <c r="D329" s="8" t="s">
        <v>23</v>
      </c>
      <c r="E329" s="8" t="s">
        <v>199</v>
      </c>
      <c r="F329" s="63" t="s">
        <v>106</v>
      </c>
      <c r="G329" s="39">
        <f t="shared" si="27"/>
        <v>-475.335</v>
      </c>
      <c r="H329" s="26"/>
      <c r="I329" s="26">
        <v>475.335</v>
      </c>
      <c r="J329" s="86"/>
    </row>
    <row r="330" spans="1:10" s="5" customFormat="1" ht="15">
      <c r="A330" s="66" t="s">
        <v>109</v>
      </c>
      <c r="B330" s="8" t="s">
        <v>57</v>
      </c>
      <c r="C330" s="8" t="s">
        <v>25</v>
      </c>
      <c r="D330" s="8" t="s">
        <v>23</v>
      </c>
      <c r="E330" s="8" t="s">
        <v>199</v>
      </c>
      <c r="F330" s="63" t="s">
        <v>107</v>
      </c>
      <c r="G330" s="39">
        <f t="shared" si="27"/>
        <v>0</v>
      </c>
      <c r="H330" s="26">
        <v>7.5</v>
      </c>
      <c r="I330" s="26">
        <v>7.5</v>
      </c>
      <c r="J330" s="86"/>
    </row>
    <row r="331" spans="1:10" s="5" customFormat="1" ht="15">
      <c r="A331" s="66" t="s">
        <v>230</v>
      </c>
      <c r="B331" s="8" t="s">
        <v>57</v>
      </c>
      <c r="C331" s="8" t="s">
        <v>25</v>
      </c>
      <c r="D331" s="8" t="s">
        <v>23</v>
      </c>
      <c r="E331" s="8" t="s">
        <v>199</v>
      </c>
      <c r="F331" s="63" t="s">
        <v>228</v>
      </c>
      <c r="G331" s="39">
        <f aca="true" t="shared" si="28" ref="G331:G371">H331-I331</f>
        <v>6.6949999999999985</v>
      </c>
      <c r="H331" s="26">
        <f>2.17+0.01+1.27+3.62+4.755+1.94</f>
        <v>13.764999999999999</v>
      </c>
      <c r="I331" s="26">
        <v>7.07</v>
      </c>
      <c r="J331" s="86"/>
    </row>
    <row r="332" spans="1:10" s="5" customFormat="1" ht="30">
      <c r="A332" s="37" t="s">
        <v>92</v>
      </c>
      <c r="B332" s="8" t="s">
        <v>57</v>
      </c>
      <c r="C332" s="8" t="s">
        <v>25</v>
      </c>
      <c r="D332" s="8" t="s">
        <v>23</v>
      </c>
      <c r="E332" s="14" t="s">
        <v>140</v>
      </c>
      <c r="F332" s="64"/>
      <c r="G332" s="39">
        <f t="shared" si="28"/>
        <v>0</v>
      </c>
      <c r="H332" s="26">
        <f>H333</f>
        <v>24.3</v>
      </c>
      <c r="I332" s="26">
        <f>I333</f>
        <v>24.3</v>
      </c>
      <c r="J332" s="86"/>
    </row>
    <row r="333" spans="1:10" s="5" customFormat="1" ht="60" customHeight="1">
      <c r="A333" s="73" t="s">
        <v>306</v>
      </c>
      <c r="B333" s="8" t="s">
        <v>57</v>
      </c>
      <c r="C333" s="8" t="s">
        <v>25</v>
      </c>
      <c r="D333" s="8" t="s">
        <v>23</v>
      </c>
      <c r="E333" s="8" t="s">
        <v>220</v>
      </c>
      <c r="F333" s="64"/>
      <c r="G333" s="39">
        <f t="shared" si="28"/>
        <v>0</v>
      </c>
      <c r="H333" s="26">
        <f>H334</f>
        <v>24.3</v>
      </c>
      <c r="I333" s="26">
        <f>I334</f>
        <v>24.3</v>
      </c>
      <c r="J333" s="86"/>
    </row>
    <row r="334" spans="1:10" s="5" customFormat="1" ht="15">
      <c r="A334" s="71" t="s">
        <v>73</v>
      </c>
      <c r="B334" s="8" t="s">
        <v>57</v>
      </c>
      <c r="C334" s="8" t="s">
        <v>25</v>
      </c>
      <c r="D334" s="8" t="s">
        <v>23</v>
      </c>
      <c r="E334" s="8" t="s">
        <v>220</v>
      </c>
      <c r="F334" s="64" t="s">
        <v>72</v>
      </c>
      <c r="G334" s="39">
        <f t="shared" si="28"/>
        <v>0</v>
      </c>
      <c r="H334" s="26">
        <v>24.3</v>
      </c>
      <c r="I334" s="26">
        <v>24.3</v>
      </c>
      <c r="J334" s="86"/>
    </row>
    <row r="335" spans="1:10" s="16" customFormat="1" ht="28.5">
      <c r="A335" s="126" t="s">
        <v>256</v>
      </c>
      <c r="B335" s="20" t="s">
        <v>57</v>
      </c>
      <c r="C335" s="20" t="s">
        <v>25</v>
      </c>
      <c r="D335" s="20" t="s">
        <v>43</v>
      </c>
      <c r="E335" s="15"/>
      <c r="F335" s="15"/>
      <c r="G335" s="39">
        <f t="shared" si="28"/>
        <v>-9</v>
      </c>
      <c r="H335" s="24">
        <f>H336+H345+H339+H342</f>
        <v>23.516</v>
      </c>
      <c r="I335" s="24">
        <f>I336+I345+I339+I342</f>
        <v>32.516</v>
      </c>
      <c r="J335" s="99"/>
    </row>
    <row r="336" spans="1:10" s="5" customFormat="1" ht="48" customHeight="1">
      <c r="A336" s="139" t="s">
        <v>332</v>
      </c>
      <c r="B336" s="18" t="s">
        <v>57</v>
      </c>
      <c r="C336" s="8" t="s">
        <v>25</v>
      </c>
      <c r="D336" s="8" t="s">
        <v>43</v>
      </c>
      <c r="E336" s="18" t="s">
        <v>174</v>
      </c>
      <c r="F336" s="14"/>
      <c r="G336" s="39">
        <f t="shared" si="28"/>
        <v>-10</v>
      </c>
      <c r="H336" s="26">
        <f>H337</f>
        <v>0</v>
      </c>
      <c r="I336" s="26">
        <f>I337</f>
        <v>10</v>
      </c>
      <c r="J336" s="98"/>
    </row>
    <row r="337" spans="1:10" s="5" customFormat="1" ht="31.5" customHeight="1">
      <c r="A337" s="37" t="s">
        <v>235</v>
      </c>
      <c r="B337" s="18" t="s">
        <v>57</v>
      </c>
      <c r="C337" s="8" t="s">
        <v>25</v>
      </c>
      <c r="D337" s="8" t="s">
        <v>43</v>
      </c>
      <c r="E337" s="18" t="s">
        <v>175</v>
      </c>
      <c r="F337" s="14"/>
      <c r="G337" s="39">
        <f t="shared" si="28"/>
        <v>-10</v>
      </c>
      <c r="H337" s="26">
        <f>H338</f>
        <v>0</v>
      </c>
      <c r="I337" s="26">
        <f>I338</f>
        <v>10</v>
      </c>
      <c r="J337" s="98"/>
    </row>
    <row r="338" spans="1:10" s="5" customFormat="1" ht="45" customHeight="1">
      <c r="A338" s="37" t="s">
        <v>87</v>
      </c>
      <c r="B338" s="18" t="s">
        <v>57</v>
      </c>
      <c r="C338" s="8" t="s">
        <v>25</v>
      </c>
      <c r="D338" s="8" t="s">
        <v>43</v>
      </c>
      <c r="E338" s="18" t="s">
        <v>175</v>
      </c>
      <c r="F338" s="14" t="s">
        <v>86</v>
      </c>
      <c r="G338" s="39">
        <f t="shared" si="28"/>
        <v>-10</v>
      </c>
      <c r="H338" s="26"/>
      <c r="I338" s="92">
        <v>10</v>
      </c>
      <c r="J338" s="98"/>
    </row>
    <row r="339" spans="1:10" s="5" customFormat="1" ht="45" customHeight="1">
      <c r="A339" s="139" t="s">
        <v>326</v>
      </c>
      <c r="B339" s="8" t="s">
        <v>57</v>
      </c>
      <c r="C339" s="8" t="s">
        <v>25</v>
      </c>
      <c r="D339" s="8" t="s">
        <v>43</v>
      </c>
      <c r="E339" s="8" t="s">
        <v>154</v>
      </c>
      <c r="F339" s="14"/>
      <c r="G339" s="39">
        <f t="shared" si="28"/>
        <v>0</v>
      </c>
      <c r="H339" s="26">
        <f>H340</f>
        <v>8.756</v>
      </c>
      <c r="I339" s="26">
        <f>I340</f>
        <v>8.756</v>
      </c>
      <c r="J339" s="98"/>
    </row>
    <row r="340" spans="1:10" s="5" customFormat="1" ht="45" customHeight="1">
      <c r="A340" s="37" t="s">
        <v>235</v>
      </c>
      <c r="B340" s="8" t="s">
        <v>57</v>
      </c>
      <c r="C340" s="8" t="s">
        <v>25</v>
      </c>
      <c r="D340" s="8" t="s">
        <v>43</v>
      </c>
      <c r="E340" s="8" t="s">
        <v>211</v>
      </c>
      <c r="F340" s="14"/>
      <c r="G340" s="39">
        <f t="shared" si="28"/>
        <v>0</v>
      </c>
      <c r="H340" s="26">
        <f>H341</f>
        <v>8.756</v>
      </c>
      <c r="I340" s="26">
        <f>I341</f>
        <v>8.756</v>
      </c>
      <c r="J340" s="98"/>
    </row>
    <row r="341" spans="1:10" s="5" customFormat="1" ht="45" customHeight="1">
      <c r="A341" s="37" t="s">
        <v>87</v>
      </c>
      <c r="B341" s="8" t="s">
        <v>57</v>
      </c>
      <c r="C341" s="8" t="s">
        <v>25</v>
      </c>
      <c r="D341" s="8" t="s">
        <v>43</v>
      </c>
      <c r="E341" s="8" t="s">
        <v>211</v>
      </c>
      <c r="F341" s="14" t="s">
        <v>86</v>
      </c>
      <c r="G341" s="39">
        <f t="shared" si="28"/>
        <v>0</v>
      </c>
      <c r="H341" s="26">
        <v>8.756</v>
      </c>
      <c r="I341" s="92">
        <v>8.756</v>
      </c>
      <c r="J341" s="98"/>
    </row>
    <row r="342" spans="1:10" s="5" customFormat="1" ht="45" customHeight="1">
      <c r="A342" s="138" t="s">
        <v>328</v>
      </c>
      <c r="B342" s="8" t="s">
        <v>57</v>
      </c>
      <c r="C342" s="8" t="s">
        <v>25</v>
      </c>
      <c r="D342" s="8" t="s">
        <v>43</v>
      </c>
      <c r="E342" s="8" t="s">
        <v>192</v>
      </c>
      <c r="F342" s="14"/>
      <c r="G342" s="39">
        <f t="shared" si="28"/>
        <v>0</v>
      </c>
      <c r="H342" s="26">
        <f>H343</f>
        <v>4.76</v>
      </c>
      <c r="I342" s="26">
        <f>I343</f>
        <v>4.76</v>
      </c>
      <c r="J342" s="98"/>
    </row>
    <row r="343" spans="1:10" s="5" customFormat="1" ht="30">
      <c r="A343" s="37" t="s">
        <v>235</v>
      </c>
      <c r="B343" s="8" t="s">
        <v>57</v>
      </c>
      <c r="C343" s="8" t="s">
        <v>25</v>
      </c>
      <c r="D343" s="8" t="s">
        <v>43</v>
      </c>
      <c r="E343" s="18" t="s">
        <v>193</v>
      </c>
      <c r="F343" s="14"/>
      <c r="G343" s="39">
        <f t="shared" si="28"/>
        <v>0</v>
      </c>
      <c r="H343" s="26">
        <f>H344</f>
        <v>4.76</v>
      </c>
      <c r="I343" s="26">
        <f>I344</f>
        <v>4.76</v>
      </c>
      <c r="J343" s="98"/>
    </row>
    <row r="344" spans="1:10" s="5" customFormat="1" ht="45" customHeight="1">
      <c r="A344" s="37" t="s">
        <v>87</v>
      </c>
      <c r="B344" s="8" t="s">
        <v>57</v>
      </c>
      <c r="C344" s="8" t="s">
        <v>25</v>
      </c>
      <c r="D344" s="8" t="s">
        <v>43</v>
      </c>
      <c r="E344" s="18" t="s">
        <v>193</v>
      </c>
      <c r="F344" s="14" t="s">
        <v>86</v>
      </c>
      <c r="G344" s="39">
        <f t="shared" si="28"/>
        <v>0</v>
      </c>
      <c r="H344" s="26">
        <f>3.36+1.4</f>
        <v>4.76</v>
      </c>
      <c r="I344" s="92">
        <v>4.76</v>
      </c>
      <c r="J344" s="98"/>
    </row>
    <row r="345" spans="1:10" s="5" customFormat="1" ht="45" customHeight="1">
      <c r="A345" s="138" t="s">
        <v>329</v>
      </c>
      <c r="B345" s="8" t="s">
        <v>57</v>
      </c>
      <c r="C345" s="8" t="s">
        <v>25</v>
      </c>
      <c r="D345" s="8" t="s">
        <v>43</v>
      </c>
      <c r="E345" s="8" t="s">
        <v>195</v>
      </c>
      <c r="F345" s="8"/>
      <c r="G345" s="39">
        <f t="shared" si="28"/>
        <v>1</v>
      </c>
      <c r="H345" s="26">
        <f>H346</f>
        <v>10</v>
      </c>
      <c r="I345" s="26">
        <f>I346</f>
        <v>9</v>
      </c>
      <c r="J345" s="98"/>
    </row>
    <row r="346" spans="1:10" s="5" customFormat="1" ht="30">
      <c r="A346" s="44" t="s">
        <v>235</v>
      </c>
      <c r="B346" s="8" t="s">
        <v>57</v>
      </c>
      <c r="C346" s="8" t="s">
        <v>25</v>
      </c>
      <c r="D346" s="8" t="s">
        <v>43</v>
      </c>
      <c r="E346" s="8" t="s">
        <v>196</v>
      </c>
      <c r="F346" s="8"/>
      <c r="G346" s="39">
        <f t="shared" si="28"/>
        <v>1</v>
      </c>
      <c r="H346" s="26">
        <f>H347</f>
        <v>10</v>
      </c>
      <c r="I346" s="26">
        <f>I347</f>
        <v>9</v>
      </c>
      <c r="J346" s="98"/>
    </row>
    <row r="347" spans="1:10" s="5" customFormat="1" ht="45" customHeight="1">
      <c r="A347" s="37" t="s">
        <v>87</v>
      </c>
      <c r="B347" s="8" t="s">
        <v>57</v>
      </c>
      <c r="C347" s="8" t="s">
        <v>25</v>
      </c>
      <c r="D347" s="8" t="s">
        <v>43</v>
      </c>
      <c r="E347" s="8" t="s">
        <v>196</v>
      </c>
      <c r="F347" s="14" t="s">
        <v>86</v>
      </c>
      <c r="G347" s="39">
        <f t="shared" si="28"/>
        <v>1</v>
      </c>
      <c r="H347" s="26">
        <f>5+4-1+4-2</f>
        <v>10</v>
      </c>
      <c r="I347" s="92">
        <v>9</v>
      </c>
      <c r="J347" s="98"/>
    </row>
    <row r="348" spans="1:10" s="9" customFormat="1" ht="14.25">
      <c r="A348" s="36" t="s">
        <v>29</v>
      </c>
      <c r="B348" s="7" t="s">
        <v>57</v>
      </c>
      <c r="C348" s="7" t="s">
        <v>25</v>
      </c>
      <c r="D348" s="7" t="s">
        <v>25</v>
      </c>
      <c r="E348" s="7"/>
      <c r="F348" s="7"/>
      <c r="G348" s="39">
        <f t="shared" si="28"/>
        <v>3.5960000000000036</v>
      </c>
      <c r="H348" s="25">
        <f>H349</f>
        <v>991.196</v>
      </c>
      <c r="I348" s="25">
        <f>I349</f>
        <v>987.6</v>
      </c>
      <c r="J348" s="100"/>
    </row>
    <row r="349" spans="1:10" s="9" customFormat="1" ht="42.75">
      <c r="A349" s="143" t="s">
        <v>333</v>
      </c>
      <c r="B349" s="18" t="s">
        <v>57</v>
      </c>
      <c r="C349" s="18" t="s">
        <v>25</v>
      </c>
      <c r="D349" s="23" t="s">
        <v>25</v>
      </c>
      <c r="E349" s="14" t="s">
        <v>142</v>
      </c>
      <c r="F349" s="14"/>
      <c r="G349" s="39">
        <f t="shared" si="28"/>
        <v>3.5960000000000036</v>
      </c>
      <c r="H349" s="27">
        <f>H350+H352</f>
        <v>991.196</v>
      </c>
      <c r="I349" s="27">
        <f>I350+I352</f>
        <v>987.6</v>
      </c>
      <c r="J349" s="100"/>
    </row>
    <row r="350" spans="1:10" s="9" customFormat="1" ht="90">
      <c r="A350" s="45" t="s">
        <v>125</v>
      </c>
      <c r="B350" s="18" t="s">
        <v>57</v>
      </c>
      <c r="C350" s="18" t="s">
        <v>25</v>
      </c>
      <c r="D350" s="23" t="s">
        <v>25</v>
      </c>
      <c r="E350" s="14" t="s">
        <v>173</v>
      </c>
      <c r="F350" s="14"/>
      <c r="G350" s="39">
        <f t="shared" si="28"/>
        <v>3.5960000000000036</v>
      </c>
      <c r="H350" s="27">
        <f>H351</f>
        <v>53.596000000000004</v>
      </c>
      <c r="I350" s="27">
        <f>I351</f>
        <v>50</v>
      </c>
      <c r="J350" s="100"/>
    </row>
    <row r="351" spans="1:10" s="9" customFormat="1" ht="45">
      <c r="A351" s="37" t="s">
        <v>87</v>
      </c>
      <c r="B351" s="18" t="s">
        <v>57</v>
      </c>
      <c r="C351" s="18" t="s">
        <v>25</v>
      </c>
      <c r="D351" s="23" t="s">
        <v>25</v>
      </c>
      <c r="E351" s="14" t="s">
        <v>173</v>
      </c>
      <c r="F351" s="14" t="s">
        <v>86</v>
      </c>
      <c r="G351" s="39">
        <f t="shared" si="28"/>
        <v>3.5960000000000036</v>
      </c>
      <c r="H351" s="27">
        <f>50+3.596</f>
        <v>53.596000000000004</v>
      </c>
      <c r="I351" s="95">
        <v>50</v>
      </c>
      <c r="J351" s="100"/>
    </row>
    <row r="352" spans="1:10" s="9" customFormat="1" ht="60">
      <c r="A352" s="45" t="s">
        <v>307</v>
      </c>
      <c r="B352" s="18" t="s">
        <v>57</v>
      </c>
      <c r="C352" s="18" t="s">
        <v>25</v>
      </c>
      <c r="D352" s="18" t="s">
        <v>25</v>
      </c>
      <c r="E352" s="18" t="s">
        <v>342</v>
      </c>
      <c r="F352" s="18"/>
      <c r="G352" s="39">
        <f t="shared" si="28"/>
        <v>0</v>
      </c>
      <c r="H352" s="27">
        <f>H353</f>
        <v>937.6</v>
      </c>
      <c r="I352" s="27">
        <f>I353</f>
        <v>937.6</v>
      </c>
      <c r="J352" s="100"/>
    </row>
    <row r="353" spans="1:10" s="9" customFormat="1" ht="45">
      <c r="A353" s="37" t="s">
        <v>87</v>
      </c>
      <c r="B353" s="18" t="s">
        <v>57</v>
      </c>
      <c r="C353" s="18" t="s">
        <v>25</v>
      </c>
      <c r="D353" s="18" t="s">
        <v>25</v>
      </c>
      <c r="E353" s="18" t="s">
        <v>342</v>
      </c>
      <c r="F353" s="18" t="s">
        <v>86</v>
      </c>
      <c r="G353" s="39">
        <f t="shared" si="28"/>
        <v>0</v>
      </c>
      <c r="H353" s="27">
        <v>937.6</v>
      </c>
      <c r="I353" s="95">
        <v>937.6</v>
      </c>
      <c r="J353" s="100"/>
    </row>
    <row r="354" spans="1:10" s="9" customFormat="1" ht="17.25" customHeight="1">
      <c r="A354" s="36" t="s">
        <v>66</v>
      </c>
      <c r="B354" s="7" t="s">
        <v>57</v>
      </c>
      <c r="C354" s="7" t="s">
        <v>31</v>
      </c>
      <c r="D354" s="11"/>
      <c r="E354" s="11"/>
      <c r="F354" s="11"/>
      <c r="G354" s="39">
        <f t="shared" si="28"/>
        <v>-78.42100000000119</v>
      </c>
      <c r="H354" s="25">
        <f>+H355</f>
        <v>7064.794999999999</v>
      </c>
      <c r="I354" s="94">
        <f>+I355</f>
        <v>7143.216</v>
      </c>
      <c r="J354" s="108"/>
    </row>
    <row r="355" spans="1:10" s="9" customFormat="1" ht="14.25">
      <c r="A355" s="36" t="s">
        <v>32</v>
      </c>
      <c r="B355" s="7" t="s">
        <v>57</v>
      </c>
      <c r="C355" s="7" t="s">
        <v>31</v>
      </c>
      <c r="D355" s="7" t="s">
        <v>22</v>
      </c>
      <c r="E355" s="7"/>
      <c r="F355" s="7"/>
      <c r="G355" s="39">
        <f t="shared" si="28"/>
        <v>-78.42100000000119</v>
      </c>
      <c r="H355" s="25">
        <f>H371+H380+H384+H393+H356</f>
        <v>7064.794999999999</v>
      </c>
      <c r="I355" s="25">
        <f>I371+I380+I384+I393+I356</f>
        <v>7143.216</v>
      </c>
      <c r="J355" s="108"/>
    </row>
    <row r="356" spans="1:10" s="9" customFormat="1" ht="60.75" customHeight="1">
      <c r="A356" s="114" t="s">
        <v>318</v>
      </c>
      <c r="B356" s="18" t="s">
        <v>57</v>
      </c>
      <c r="C356" s="18" t="s">
        <v>31</v>
      </c>
      <c r="D356" s="18" t="s">
        <v>22</v>
      </c>
      <c r="E356" s="18" t="s">
        <v>251</v>
      </c>
      <c r="F356" s="18"/>
      <c r="G356" s="39">
        <f t="shared" si="28"/>
        <v>9.67899999999986</v>
      </c>
      <c r="H356" s="27">
        <f>H357+H367</f>
        <v>1489.2789999999998</v>
      </c>
      <c r="I356" s="27">
        <f>I357+I367</f>
        <v>1479.6</v>
      </c>
      <c r="J356" s="108"/>
    </row>
    <row r="357" spans="1:10" s="19" customFormat="1" ht="32.25" customHeight="1">
      <c r="A357" s="158" t="s">
        <v>373</v>
      </c>
      <c r="B357" s="18" t="s">
        <v>57</v>
      </c>
      <c r="C357" s="18" t="s">
        <v>31</v>
      </c>
      <c r="D357" s="18" t="s">
        <v>22</v>
      </c>
      <c r="E357" s="18" t="s">
        <v>252</v>
      </c>
      <c r="F357" s="18"/>
      <c r="G357" s="39">
        <f t="shared" si="28"/>
        <v>9.67899999999986</v>
      </c>
      <c r="H357" s="27">
        <f>H358</f>
        <v>1479.2789999999998</v>
      </c>
      <c r="I357" s="27">
        <f>I358</f>
        <v>1469.6</v>
      </c>
      <c r="J357" s="101"/>
    </row>
    <row r="358" spans="1:10" s="19" customFormat="1" ht="45">
      <c r="A358" s="159" t="s">
        <v>250</v>
      </c>
      <c r="B358" s="18" t="s">
        <v>57</v>
      </c>
      <c r="C358" s="18" t="s">
        <v>31</v>
      </c>
      <c r="D358" s="18" t="s">
        <v>22</v>
      </c>
      <c r="E358" s="18" t="s">
        <v>253</v>
      </c>
      <c r="F358" s="18"/>
      <c r="G358" s="39">
        <f t="shared" si="28"/>
        <v>9.67899999999986</v>
      </c>
      <c r="H358" s="27">
        <f>H361+H359+H363+H365</f>
        <v>1479.2789999999998</v>
      </c>
      <c r="I358" s="27">
        <f>I361+I359+I363+I365</f>
        <v>1469.6</v>
      </c>
      <c r="J358" s="101"/>
    </row>
    <row r="359" spans="1:10" s="19" customFormat="1" ht="45">
      <c r="A359" s="159" t="s">
        <v>392</v>
      </c>
      <c r="B359" s="18" t="s">
        <v>57</v>
      </c>
      <c r="C359" s="18" t="s">
        <v>31</v>
      </c>
      <c r="D359" s="18" t="s">
        <v>22</v>
      </c>
      <c r="E359" s="18" t="s">
        <v>393</v>
      </c>
      <c r="F359" s="18"/>
      <c r="G359" s="39">
        <f t="shared" si="28"/>
        <v>-1.2100000000000009</v>
      </c>
      <c r="H359" s="27">
        <f>H360</f>
        <v>10.79</v>
      </c>
      <c r="I359" s="27">
        <f>I360</f>
        <v>12</v>
      </c>
      <c r="J359" s="101"/>
    </row>
    <row r="360" spans="1:10" s="19" customFormat="1" ht="45">
      <c r="A360" s="37" t="s">
        <v>87</v>
      </c>
      <c r="B360" s="18" t="s">
        <v>57</v>
      </c>
      <c r="C360" s="18" t="s">
        <v>31</v>
      </c>
      <c r="D360" s="18" t="s">
        <v>22</v>
      </c>
      <c r="E360" s="18" t="s">
        <v>393</v>
      </c>
      <c r="F360" s="18" t="s">
        <v>86</v>
      </c>
      <c r="G360" s="39">
        <f t="shared" si="28"/>
        <v>-1.2100000000000009</v>
      </c>
      <c r="H360" s="27">
        <f>12-1.21</f>
        <v>10.79</v>
      </c>
      <c r="I360" s="27">
        <v>12</v>
      </c>
      <c r="J360" s="101"/>
    </row>
    <row r="361" spans="1:10" s="19" customFormat="1" ht="45">
      <c r="A361" s="159" t="s">
        <v>372</v>
      </c>
      <c r="B361" s="18" t="s">
        <v>57</v>
      </c>
      <c r="C361" s="18" t="s">
        <v>31</v>
      </c>
      <c r="D361" s="18" t="s">
        <v>22</v>
      </c>
      <c r="E361" s="18" t="s">
        <v>371</v>
      </c>
      <c r="F361" s="18"/>
      <c r="G361" s="39">
        <f t="shared" si="28"/>
        <v>0</v>
      </c>
      <c r="H361" s="27">
        <f>H362</f>
        <v>12.058999999999997</v>
      </c>
      <c r="I361" s="27">
        <f>I362</f>
        <v>12.059</v>
      </c>
      <c r="J361" s="101"/>
    </row>
    <row r="362" spans="1:10" s="19" customFormat="1" ht="15">
      <c r="A362" s="71" t="s">
        <v>73</v>
      </c>
      <c r="B362" s="18" t="s">
        <v>57</v>
      </c>
      <c r="C362" s="18" t="s">
        <v>31</v>
      </c>
      <c r="D362" s="18" t="s">
        <v>22</v>
      </c>
      <c r="E362" s="18" t="s">
        <v>371</v>
      </c>
      <c r="F362" s="18" t="s">
        <v>72</v>
      </c>
      <c r="G362" s="39">
        <f t="shared" si="28"/>
        <v>0</v>
      </c>
      <c r="H362" s="27">
        <f>80-67.941</f>
        <v>12.058999999999997</v>
      </c>
      <c r="I362" s="27">
        <v>12.059</v>
      </c>
      <c r="J362" s="101"/>
    </row>
    <row r="363" spans="1:10" s="19" customFormat="1" ht="45">
      <c r="A363" s="77" t="s">
        <v>396</v>
      </c>
      <c r="B363" s="18" t="s">
        <v>57</v>
      </c>
      <c r="C363" s="18" t="s">
        <v>31</v>
      </c>
      <c r="D363" s="18" t="s">
        <v>22</v>
      </c>
      <c r="E363" s="18" t="s">
        <v>395</v>
      </c>
      <c r="F363" s="18"/>
      <c r="G363" s="39">
        <f t="shared" si="28"/>
        <v>0</v>
      </c>
      <c r="H363" s="27">
        <f>H364</f>
        <v>1445.541</v>
      </c>
      <c r="I363" s="27">
        <f>I364</f>
        <v>1445.541</v>
      </c>
      <c r="J363" s="101"/>
    </row>
    <row r="364" spans="1:10" s="19" customFormat="1" ht="15">
      <c r="A364" s="71" t="s">
        <v>73</v>
      </c>
      <c r="B364" s="18" t="s">
        <v>57</v>
      </c>
      <c r="C364" s="18" t="s">
        <v>31</v>
      </c>
      <c r="D364" s="18" t="s">
        <v>22</v>
      </c>
      <c r="E364" s="18" t="s">
        <v>395</v>
      </c>
      <c r="F364" s="18" t="s">
        <v>72</v>
      </c>
      <c r="G364" s="39">
        <f t="shared" si="28"/>
        <v>0</v>
      </c>
      <c r="H364" s="27">
        <f>1377.6+67.941</f>
        <v>1445.541</v>
      </c>
      <c r="I364" s="27">
        <v>1445.541</v>
      </c>
      <c r="J364" s="101"/>
    </row>
    <row r="365" spans="1:10" s="19" customFormat="1" ht="30">
      <c r="A365" s="77" t="s">
        <v>407</v>
      </c>
      <c r="B365" s="18" t="s">
        <v>57</v>
      </c>
      <c r="C365" s="18" t="s">
        <v>31</v>
      </c>
      <c r="D365" s="18" t="s">
        <v>22</v>
      </c>
      <c r="E365" s="18" t="s">
        <v>406</v>
      </c>
      <c r="F365" s="18"/>
      <c r="G365" s="39">
        <f t="shared" si="28"/>
        <v>10.889</v>
      </c>
      <c r="H365" s="27">
        <f>H366</f>
        <v>10.889</v>
      </c>
      <c r="I365" s="27">
        <f>I366</f>
        <v>0</v>
      </c>
      <c r="J365" s="101"/>
    </row>
    <row r="366" spans="1:10" s="19" customFormat="1" ht="45">
      <c r="A366" s="37" t="s">
        <v>87</v>
      </c>
      <c r="B366" s="18" t="s">
        <v>57</v>
      </c>
      <c r="C366" s="18" t="s">
        <v>31</v>
      </c>
      <c r="D366" s="18" t="s">
        <v>22</v>
      </c>
      <c r="E366" s="18" t="s">
        <v>406</v>
      </c>
      <c r="F366" s="18" t="s">
        <v>86</v>
      </c>
      <c r="G366" s="39">
        <f t="shared" si="28"/>
        <v>10.889</v>
      </c>
      <c r="H366" s="27">
        <f>9.679+1.21</f>
        <v>10.889</v>
      </c>
      <c r="I366" s="27"/>
      <c r="J366" s="101"/>
    </row>
    <row r="367" spans="1:10" s="19" customFormat="1" ht="30">
      <c r="A367" s="77" t="s">
        <v>375</v>
      </c>
      <c r="B367" s="18" t="s">
        <v>57</v>
      </c>
      <c r="C367" s="18" t="s">
        <v>31</v>
      </c>
      <c r="D367" s="18" t="s">
        <v>22</v>
      </c>
      <c r="E367" s="18" t="s">
        <v>374</v>
      </c>
      <c r="F367" s="18"/>
      <c r="G367" s="39">
        <f t="shared" si="28"/>
        <v>0</v>
      </c>
      <c r="H367" s="27">
        <f aca="true" t="shared" si="29" ref="H367:I369">H368</f>
        <v>10</v>
      </c>
      <c r="I367" s="27">
        <f t="shared" si="29"/>
        <v>10</v>
      </c>
      <c r="J367" s="101"/>
    </row>
    <row r="368" spans="1:10" s="19" customFormat="1" ht="60">
      <c r="A368" s="77" t="s">
        <v>390</v>
      </c>
      <c r="B368" s="18" t="s">
        <v>57</v>
      </c>
      <c r="C368" s="18" t="s">
        <v>31</v>
      </c>
      <c r="D368" s="18" t="s">
        <v>22</v>
      </c>
      <c r="E368" s="18" t="s">
        <v>376</v>
      </c>
      <c r="F368" s="18"/>
      <c r="G368" s="39">
        <f t="shared" si="28"/>
        <v>0</v>
      </c>
      <c r="H368" s="27">
        <f t="shared" si="29"/>
        <v>10</v>
      </c>
      <c r="I368" s="27">
        <f t="shared" si="29"/>
        <v>10</v>
      </c>
      <c r="J368" s="101"/>
    </row>
    <row r="369" spans="1:10" s="19" customFormat="1" ht="30">
      <c r="A369" s="77" t="s">
        <v>378</v>
      </c>
      <c r="B369" s="18" t="s">
        <v>57</v>
      </c>
      <c r="C369" s="18" t="s">
        <v>31</v>
      </c>
      <c r="D369" s="18" t="s">
        <v>22</v>
      </c>
      <c r="E369" s="18" t="s">
        <v>377</v>
      </c>
      <c r="F369" s="18"/>
      <c r="G369" s="39">
        <f t="shared" si="28"/>
        <v>0</v>
      </c>
      <c r="H369" s="27">
        <f t="shared" si="29"/>
        <v>10</v>
      </c>
      <c r="I369" s="27">
        <f t="shared" si="29"/>
        <v>10</v>
      </c>
      <c r="J369" s="101"/>
    </row>
    <row r="370" spans="1:10" s="19" customFormat="1" ht="45">
      <c r="A370" s="37" t="s">
        <v>87</v>
      </c>
      <c r="B370" s="18" t="s">
        <v>57</v>
      </c>
      <c r="C370" s="18" t="s">
        <v>31</v>
      </c>
      <c r="D370" s="18" t="s">
        <v>22</v>
      </c>
      <c r="E370" s="18" t="s">
        <v>377</v>
      </c>
      <c r="F370" s="18" t="s">
        <v>86</v>
      </c>
      <c r="G370" s="39">
        <f t="shared" si="28"/>
        <v>0</v>
      </c>
      <c r="H370" s="27">
        <v>10</v>
      </c>
      <c r="I370" s="27">
        <v>10</v>
      </c>
      <c r="J370" s="101"/>
    </row>
    <row r="371" spans="1:10" s="5" customFormat="1" ht="57">
      <c r="A371" s="137" t="s">
        <v>379</v>
      </c>
      <c r="B371" s="8" t="s">
        <v>57</v>
      </c>
      <c r="C371" s="8" t="s">
        <v>31</v>
      </c>
      <c r="D371" s="8" t="s">
        <v>22</v>
      </c>
      <c r="E371" s="8" t="s">
        <v>176</v>
      </c>
      <c r="F371" s="8"/>
      <c r="G371" s="39">
        <f t="shared" si="28"/>
        <v>-84.79999999999995</v>
      </c>
      <c r="H371" s="26">
        <f>H372</f>
        <v>427.81600000000003</v>
      </c>
      <c r="I371" s="26">
        <f>I372</f>
        <v>512.616</v>
      </c>
      <c r="J371" s="97"/>
    </row>
    <row r="372" spans="1:10" s="5" customFormat="1" ht="30">
      <c r="A372" s="45" t="s">
        <v>236</v>
      </c>
      <c r="B372" s="8" t="s">
        <v>57</v>
      </c>
      <c r="C372" s="8" t="s">
        <v>31</v>
      </c>
      <c r="D372" s="8" t="s">
        <v>22</v>
      </c>
      <c r="E372" s="8" t="s">
        <v>177</v>
      </c>
      <c r="F372" s="8"/>
      <c r="G372" s="39">
        <f aca="true" t="shared" si="30" ref="G372:G380">H372-I372</f>
        <v>-84.79999999999995</v>
      </c>
      <c r="H372" s="26">
        <f>H373+H376+H374+H378+H377+H375+H379</f>
        <v>427.81600000000003</v>
      </c>
      <c r="I372" s="26">
        <f>I373+I376+I374+I378+I377+I375+I379</f>
        <v>512.616</v>
      </c>
      <c r="J372" s="97"/>
    </row>
    <row r="373" spans="1:10" s="5" customFormat="1" ht="15">
      <c r="A373" s="37" t="s">
        <v>208</v>
      </c>
      <c r="B373" s="8" t="s">
        <v>57</v>
      </c>
      <c r="C373" s="8" t="s">
        <v>31</v>
      </c>
      <c r="D373" s="8" t="s">
        <v>22</v>
      </c>
      <c r="E373" s="8" t="s">
        <v>177</v>
      </c>
      <c r="F373" s="8" t="s">
        <v>93</v>
      </c>
      <c r="G373" s="39">
        <f t="shared" si="30"/>
        <v>-108</v>
      </c>
      <c r="H373" s="26">
        <f>382.7-15-12.001-108</f>
        <v>247.699</v>
      </c>
      <c r="I373" s="92">
        <v>355.699</v>
      </c>
      <c r="J373" s="98"/>
    </row>
    <row r="374" spans="1:10" s="5" customFormat="1" ht="30" hidden="1">
      <c r="A374" s="37" t="s">
        <v>104</v>
      </c>
      <c r="B374" s="8" t="s">
        <v>57</v>
      </c>
      <c r="C374" s="8" t="s">
        <v>31</v>
      </c>
      <c r="D374" s="8" t="s">
        <v>22</v>
      </c>
      <c r="E374" s="8" t="s">
        <v>177</v>
      </c>
      <c r="F374" s="8" t="s">
        <v>103</v>
      </c>
      <c r="G374" s="39">
        <f t="shared" si="30"/>
        <v>0</v>
      </c>
      <c r="H374" s="26"/>
      <c r="I374" s="92"/>
      <c r="J374" s="98"/>
    </row>
    <row r="375" spans="1:10" s="5" customFormat="1" ht="45.75" customHeight="1">
      <c r="A375" s="37" t="s">
        <v>209</v>
      </c>
      <c r="B375" s="8" t="s">
        <v>57</v>
      </c>
      <c r="C375" s="8" t="s">
        <v>31</v>
      </c>
      <c r="D375" s="8" t="s">
        <v>22</v>
      </c>
      <c r="E375" s="8" t="s">
        <v>177</v>
      </c>
      <c r="F375" s="8" t="s">
        <v>133</v>
      </c>
      <c r="G375" s="39">
        <f t="shared" si="30"/>
        <v>-38.001000000000005</v>
      </c>
      <c r="H375" s="27">
        <f>115.6-5-0.024-0.001-38</f>
        <v>72.57499999999999</v>
      </c>
      <c r="I375" s="92">
        <v>110.576</v>
      </c>
      <c r="J375" s="98"/>
    </row>
    <row r="376" spans="1:10" s="5" customFormat="1" ht="45">
      <c r="A376" s="37" t="s">
        <v>87</v>
      </c>
      <c r="B376" s="8" t="s">
        <v>57</v>
      </c>
      <c r="C376" s="8" t="s">
        <v>31</v>
      </c>
      <c r="D376" s="8" t="s">
        <v>22</v>
      </c>
      <c r="E376" s="8" t="s">
        <v>177</v>
      </c>
      <c r="F376" s="63" t="s">
        <v>86</v>
      </c>
      <c r="G376" s="39">
        <f t="shared" si="30"/>
        <v>61.2</v>
      </c>
      <c r="H376" s="26">
        <f>140-93.684+61.2</f>
        <v>107.516</v>
      </c>
      <c r="I376" s="92">
        <v>46.316</v>
      </c>
      <c r="J376" s="98"/>
    </row>
    <row r="377" spans="1:10" s="5" customFormat="1" ht="30" hidden="1">
      <c r="A377" s="66" t="s">
        <v>108</v>
      </c>
      <c r="B377" s="8" t="s">
        <v>57</v>
      </c>
      <c r="C377" s="8" t="s">
        <v>31</v>
      </c>
      <c r="D377" s="8" t="s">
        <v>22</v>
      </c>
      <c r="E377" s="8" t="s">
        <v>177</v>
      </c>
      <c r="F377" s="63" t="s">
        <v>106</v>
      </c>
      <c r="G377" s="39">
        <f t="shared" si="30"/>
        <v>0</v>
      </c>
      <c r="H377" s="26"/>
      <c r="I377" s="92"/>
      <c r="J377" s="98"/>
    </row>
    <row r="378" spans="1:10" s="5" customFormat="1" ht="15" hidden="1">
      <c r="A378" s="66" t="s">
        <v>109</v>
      </c>
      <c r="B378" s="8" t="s">
        <v>57</v>
      </c>
      <c r="C378" s="8" t="s">
        <v>31</v>
      </c>
      <c r="D378" s="8" t="s">
        <v>22</v>
      </c>
      <c r="E378" s="8" t="s">
        <v>177</v>
      </c>
      <c r="F378" s="63" t="s">
        <v>107</v>
      </c>
      <c r="G378" s="39">
        <f t="shared" si="30"/>
        <v>0</v>
      </c>
      <c r="H378" s="26"/>
      <c r="I378" s="92"/>
      <c r="J378" s="98"/>
    </row>
    <row r="379" spans="1:10" s="5" customFormat="1" ht="15">
      <c r="A379" s="66" t="s">
        <v>230</v>
      </c>
      <c r="B379" s="8" t="s">
        <v>57</v>
      </c>
      <c r="C379" s="8" t="s">
        <v>31</v>
      </c>
      <c r="D379" s="8" t="s">
        <v>22</v>
      </c>
      <c r="E379" s="8" t="s">
        <v>177</v>
      </c>
      <c r="F379" s="63" t="s">
        <v>228</v>
      </c>
      <c r="G379" s="39">
        <f t="shared" si="30"/>
        <v>0.0010000000000000009</v>
      </c>
      <c r="H379" s="26">
        <f>0.001+0.024+0.001</f>
        <v>0.026000000000000002</v>
      </c>
      <c r="I379" s="92">
        <v>0.025</v>
      </c>
      <c r="J379" s="98"/>
    </row>
    <row r="380" spans="1:10" s="5" customFormat="1" ht="99.75">
      <c r="A380" s="142" t="s">
        <v>322</v>
      </c>
      <c r="B380" s="23" t="s">
        <v>57</v>
      </c>
      <c r="C380" s="18" t="s">
        <v>31</v>
      </c>
      <c r="D380" s="18" t="s">
        <v>22</v>
      </c>
      <c r="E380" s="18" t="s">
        <v>178</v>
      </c>
      <c r="F380" s="65"/>
      <c r="G380" s="39">
        <f t="shared" si="30"/>
        <v>0</v>
      </c>
      <c r="H380" s="27">
        <f>H381</f>
        <v>3476</v>
      </c>
      <c r="I380" s="27">
        <f>I381</f>
        <v>3476</v>
      </c>
      <c r="J380" s="98"/>
    </row>
    <row r="381" spans="1:10" s="5" customFormat="1" ht="15">
      <c r="A381" s="45" t="s">
        <v>122</v>
      </c>
      <c r="B381" s="8" t="s">
        <v>57</v>
      </c>
      <c r="C381" s="8" t="s">
        <v>31</v>
      </c>
      <c r="D381" s="8" t="s">
        <v>22</v>
      </c>
      <c r="E381" s="8" t="s">
        <v>179</v>
      </c>
      <c r="F381" s="8"/>
      <c r="G381" s="39">
        <f aca="true" t="shared" si="31" ref="G381:G392">H381-I381</f>
        <v>0</v>
      </c>
      <c r="H381" s="26">
        <f>H382+H383</f>
        <v>3476</v>
      </c>
      <c r="I381" s="26">
        <f>I382+I383</f>
        <v>3476</v>
      </c>
      <c r="J381" s="97"/>
    </row>
    <row r="382" spans="1:10" s="5" customFormat="1" ht="61.5" customHeight="1">
      <c r="A382" s="78" t="s">
        <v>94</v>
      </c>
      <c r="B382" s="8" t="s">
        <v>57</v>
      </c>
      <c r="C382" s="8" t="s">
        <v>31</v>
      </c>
      <c r="D382" s="8" t="s">
        <v>22</v>
      </c>
      <c r="E382" s="8" t="s">
        <v>179</v>
      </c>
      <c r="F382" s="8" t="s">
        <v>70</v>
      </c>
      <c r="G382" s="39">
        <f t="shared" si="31"/>
        <v>0</v>
      </c>
      <c r="H382" s="26">
        <f>3750-274</f>
        <v>3476</v>
      </c>
      <c r="I382" s="92">
        <v>3476</v>
      </c>
      <c r="J382" s="98"/>
    </row>
    <row r="383" spans="1:10" s="5" customFormat="1" ht="15" hidden="1">
      <c r="A383" s="78" t="s">
        <v>73</v>
      </c>
      <c r="B383" s="8" t="s">
        <v>57</v>
      </c>
      <c r="C383" s="8" t="s">
        <v>31</v>
      </c>
      <c r="D383" s="8" t="s">
        <v>22</v>
      </c>
      <c r="E383" s="8" t="s">
        <v>179</v>
      </c>
      <c r="F383" s="8" t="s">
        <v>72</v>
      </c>
      <c r="G383" s="39">
        <f t="shared" si="31"/>
        <v>0</v>
      </c>
      <c r="H383" s="26"/>
      <c r="I383" s="92"/>
      <c r="J383" s="98"/>
    </row>
    <row r="384" spans="1:10" s="5" customFormat="1" ht="43.5" customHeight="1">
      <c r="A384" s="142" t="s">
        <v>323</v>
      </c>
      <c r="B384" s="115" t="s">
        <v>57</v>
      </c>
      <c r="C384" s="8" t="s">
        <v>31</v>
      </c>
      <c r="D384" s="8" t="s">
        <v>22</v>
      </c>
      <c r="E384" s="8" t="s">
        <v>180</v>
      </c>
      <c r="F384" s="8"/>
      <c r="G384" s="39">
        <f t="shared" si="31"/>
        <v>-3.299999999999727</v>
      </c>
      <c r="H384" s="26">
        <f>H385</f>
        <v>1671.7</v>
      </c>
      <c r="I384" s="26">
        <f>I385</f>
        <v>1674.9999999999998</v>
      </c>
      <c r="J384" s="98"/>
    </row>
    <row r="385" spans="1:10" s="5" customFormat="1" ht="30">
      <c r="A385" s="45" t="s">
        <v>236</v>
      </c>
      <c r="B385" s="8" t="s">
        <v>57</v>
      </c>
      <c r="C385" s="8" t="s">
        <v>31</v>
      </c>
      <c r="D385" s="8" t="s">
        <v>22</v>
      </c>
      <c r="E385" s="8" t="s">
        <v>181</v>
      </c>
      <c r="F385" s="8"/>
      <c r="G385" s="39">
        <f t="shared" si="31"/>
        <v>-3.299999999999727</v>
      </c>
      <c r="H385" s="26">
        <f>H386+H387+H389+H391+H390+H388+H392</f>
        <v>1671.7</v>
      </c>
      <c r="I385" s="26">
        <f>I386+I387+I389+I391+I390+I388+I392</f>
        <v>1674.9999999999998</v>
      </c>
      <c r="J385" s="97"/>
    </row>
    <row r="386" spans="1:10" s="5" customFormat="1" ht="15">
      <c r="A386" s="37" t="s">
        <v>208</v>
      </c>
      <c r="B386" s="8" t="s">
        <v>57</v>
      </c>
      <c r="C386" s="8" t="s">
        <v>31</v>
      </c>
      <c r="D386" s="8" t="s">
        <v>22</v>
      </c>
      <c r="E386" s="8" t="s">
        <v>181</v>
      </c>
      <c r="F386" s="8" t="s">
        <v>93</v>
      </c>
      <c r="G386" s="39">
        <f t="shared" si="31"/>
        <v>-0.026000000000067303</v>
      </c>
      <c r="H386" s="26">
        <f>1257.3-52-0.026</f>
        <v>1205.274</v>
      </c>
      <c r="I386" s="92">
        <v>1205.3</v>
      </c>
      <c r="J386" s="98"/>
    </row>
    <row r="387" spans="1:10" s="5" customFormat="1" ht="30" hidden="1">
      <c r="A387" s="37" t="s">
        <v>104</v>
      </c>
      <c r="B387" s="8" t="s">
        <v>57</v>
      </c>
      <c r="C387" s="8" t="s">
        <v>31</v>
      </c>
      <c r="D387" s="8" t="s">
        <v>22</v>
      </c>
      <c r="E387" s="8" t="s">
        <v>181</v>
      </c>
      <c r="F387" s="8" t="s">
        <v>103</v>
      </c>
      <c r="G387" s="39">
        <f t="shared" si="31"/>
        <v>0</v>
      </c>
      <c r="H387" s="26"/>
      <c r="I387" s="92"/>
      <c r="J387" s="98"/>
    </row>
    <row r="388" spans="1:10" s="5" customFormat="1" ht="54" customHeight="1">
      <c r="A388" s="37" t="s">
        <v>209</v>
      </c>
      <c r="B388" s="8" t="s">
        <v>57</v>
      </c>
      <c r="C388" s="8" t="s">
        <v>31</v>
      </c>
      <c r="D388" s="8" t="s">
        <v>22</v>
      </c>
      <c r="E388" s="8" t="s">
        <v>181</v>
      </c>
      <c r="F388" s="8" t="s">
        <v>133</v>
      </c>
      <c r="G388" s="39">
        <f t="shared" si="31"/>
        <v>-0.014000000000010004</v>
      </c>
      <c r="H388" s="26">
        <f>379.7-1.022-0.001-0.004-0.01</f>
        <v>378.663</v>
      </c>
      <c r="I388" s="92">
        <v>378.677</v>
      </c>
      <c r="J388" s="98"/>
    </row>
    <row r="389" spans="1:10" s="5" customFormat="1" ht="45">
      <c r="A389" s="37" t="s">
        <v>87</v>
      </c>
      <c r="B389" s="8" t="s">
        <v>57</v>
      </c>
      <c r="C389" s="8" t="s">
        <v>31</v>
      </c>
      <c r="D389" s="8" t="s">
        <v>22</v>
      </c>
      <c r="E389" s="8" t="s">
        <v>181</v>
      </c>
      <c r="F389" s="63" t="s">
        <v>86</v>
      </c>
      <c r="G389" s="39">
        <f t="shared" si="31"/>
        <v>-3.299999999999997</v>
      </c>
      <c r="H389" s="26">
        <f>90-3.3</f>
        <v>86.7</v>
      </c>
      <c r="I389" s="92">
        <v>90</v>
      </c>
      <c r="J389" s="98"/>
    </row>
    <row r="390" spans="1:10" s="5" customFormat="1" ht="45" hidden="1">
      <c r="A390" s="44" t="s">
        <v>119</v>
      </c>
      <c r="B390" s="8" t="s">
        <v>57</v>
      </c>
      <c r="C390" s="8" t="s">
        <v>31</v>
      </c>
      <c r="D390" s="8" t="s">
        <v>22</v>
      </c>
      <c r="E390" s="8" t="s">
        <v>181</v>
      </c>
      <c r="F390" s="63" t="s">
        <v>118</v>
      </c>
      <c r="G390" s="39">
        <f t="shared" si="31"/>
        <v>0</v>
      </c>
      <c r="H390" s="26"/>
      <c r="I390" s="92"/>
      <c r="J390" s="98"/>
    </row>
    <row r="391" spans="1:10" s="5" customFormat="1" ht="15" hidden="1">
      <c r="A391" s="66" t="s">
        <v>109</v>
      </c>
      <c r="B391" s="8" t="s">
        <v>57</v>
      </c>
      <c r="C391" s="8" t="s">
        <v>31</v>
      </c>
      <c r="D391" s="8" t="s">
        <v>22</v>
      </c>
      <c r="E391" s="8" t="s">
        <v>181</v>
      </c>
      <c r="F391" s="63" t="s">
        <v>107</v>
      </c>
      <c r="G391" s="39">
        <f t="shared" si="31"/>
        <v>0</v>
      </c>
      <c r="H391" s="26"/>
      <c r="I391" s="92"/>
      <c r="J391" s="98"/>
    </row>
    <row r="392" spans="1:10" s="5" customFormat="1" ht="15">
      <c r="A392" s="66" t="s">
        <v>230</v>
      </c>
      <c r="B392" s="8" t="s">
        <v>57</v>
      </c>
      <c r="C392" s="8" t="s">
        <v>31</v>
      </c>
      <c r="D392" s="8" t="s">
        <v>22</v>
      </c>
      <c r="E392" s="8" t="s">
        <v>181</v>
      </c>
      <c r="F392" s="63" t="s">
        <v>228</v>
      </c>
      <c r="G392" s="39">
        <f t="shared" si="31"/>
        <v>0.040000000000000036</v>
      </c>
      <c r="H392" s="26">
        <f>1.022+0.001+0.004+0.01+0.026</f>
        <v>1.063</v>
      </c>
      <c r="I392" s="92">
        <v>1.023</v>
      </c>
      <c r="J392" s="98"/>
    </row>
    <row r="393" spans="1:10" s="5" customFormat="1" ht="30" hidden="1">
      <c r="A393" s="37" t="s">
        <v>92</v>
      </c>
      <c r="B393" s="23" t="s">
        <v>57</v>
      </c>
      <c r="C393" s="23" t="s">
        <v>31</v>
      </c>
      <c r="D393" s="23" t="s">
        <v>22</v>
      </c>
      <c r="E393" s="23" t="s">
        <v>140</v>
      </c>
      <c r="F393" s="8"/>
      <c r="G393" s="39">
        <f aca="true" t="shared" si="32" ref="G393:G402">H393-I393</f>
        <v>0</v>
      </c>
      <c r="H393" s="26">
        <f>H394+H397</f>
        <v>0</v>
      </c>
      <c r="I393" s="26">
        <f>I394</f>
        <v>0</v>
      </c>
      <c r="J393" s="98"/>
    </row>
    <row r="394" spans="1:10" s="5" customFormat="1" ht="61.5" customHeight="1" hidden="1">
      <c r="A394" s="44" t="s">
        <v>95</v>
      </c>
      <c r="B394" s="8" t="s">
        <v>57</v>
      </c>
      <c r="C394" s="8" t="s">
        <v>31</v>
      </c>
      <c r="D394" s="8" t="s">
        <v>22</v>
      </c>
      <c r="E394" s="8" t="s">
        <v>182</v>
      </c>
      <c r="F394" s="8"/>
      <c r="G394" s="39">
        <f t="shared" si="32"/>
        <v>0</v>
      </c>
      <c r="H394" s="26">
        <f>H395+H396</f>
        <v>0</v>
      </c>
      <c r="I394" s="26">
        <f>I395+I396</f>
        <v>0</v>
      </c>
      <c r="J394" s="98"/>
    </row>
    <row r="395" spans="1:10" s="5" customFormat="1" ht="45" hidden="1">
      <c r="A395" s="37" t="s">
        <v>87</v>
      </c>
      <c r="B395" s="8" t="s">
        <v>57</v>
      </c>
      <c r="C395" s="8" t="s">
        <v>31</v>
      </c>
      <c r="D395" s="8" t="s">
        <v>22</v>
      </c>
      <c r="E395" s="8" t="s">
        <v>182</v>
      </c>
      <c r="F395" s="8" t="s">
        <v>86</v>
      </c>
      <c r="G395" s="39">
        <f t="shared" si="32"/>
        <v>0</v>
      </c>
      <c r="H395" s="26"/>
      <c r="I395" s="92"/>
      <c r="J395" s="98"/>
    </row>
    <row r="396" spans="1:10" s="5" customFormat="1" ht="15" hidden="1">
      <c r="A396" s="44" t="s">
        <v>16</v>
      </c>
      <c r="B396" s="8" t="s">
        <v>57</v>
      </c>
      <c r="C396" s="8" t="s">
        <v>31</v>
      </c>
      <c r="D396" s="8" t="s">
        <v>22</v>
      </c>
      <c r="E396" s="8" t="s">
        <v>182</v>
      </c>
      <c r="F396" s="8" t="s">
        <v>96</v>
      </c>
      <c r="G396" s="39">
        <f t="shared" si="32"/>
        <v>0</v>
      </c>
      <c r="H396" s="26"/>
      <c r="I396" s="92"/>
      <c r="J396" s="98"/>
    </row>
    <row r="397" spans="1:10" s="5" customFormat="1" ht="76.5" customHeight="1" hidden="1">
      <c r="A397" s="37" t="s">
        <v>129</v>
      </c>
      <c r="B397" s="8" t="s">
        <v>57</v>
      </c>
      <c r="C397" s="8" t="s">
        <v>31</v>
      </c>
      <c r="D397" s="8" t="s">
        <v>22</v>
      </c>
      <c r="E397" s="8" t="s">
        <v>183</v>
      </c>
      <c r="F397" s="8"/>
      <c r="G397" s="39">
        <f t="shared" si="32"/>
        <v>0</v>
      </c>
      <c r="H397" s="26">
        <f>H398+H399</f>
        <v>0</v>
      </c>
      <c r="I397" s="26">
        <f>I398+I399</f>
        <v>0</v>
      </c>
      <c r="J397" s="98"/>
    </row>
    <row r="398" spans="1:10" s="5" customFormat="1" ht="45" hidden="1">
      <c r="A398" s="37" t="s">
        <v>87</v>
      </c>
      <c r="B398" s="8" t="s">
        <v>57</v>
      </c>
      <c r="C398" s="8" t="s">
        <v>31</v>
      </c>
      <c r="D398" s="8" t="s">
        <v>22</v>
      </c>
      <c r="E398" s="8" t="s">
        <v>183</v>
      </c>
      <c r="F398" s="8" t="s">
        <v>86</v>
      </c>
      <c r="G398" s="39">
        <f t="shared" si="32"/>
        <v>0</v>
      </c>
      <c r="H398" s="26"/>
      <c r="I398" s="92"/>
      <c r="J398" s="98"/>
    </row>
    <row r="399" spans="1:10" s="5" customFormat="1" ht="15" hidden="1">
      <c r="A399" s="44" t="s">
        <v>16</v>
      </c>
      <c r="B399" s="8" t="s">
        <v>57</v>
      </c>
      <c r="C399" s="8" t="s">
        <v>31</v>
      </c>
      <c r="D399" s="8" t="s">
        <v>22</v>
      </c>
      <c r="E399" s="8" t="s">
        <v>183</v>
      </c>
      <c r="F399" s="8" t="s">
        <v>96</v>
      </c>
      <c r="G399" s="39">
        <f t="shared" si="32"/>
        <v>0</v>
      </c>
      <c r="H399" s="26"/>
      <c r="I399" s="92"/>
      <c r="J399" s="98"/>
    </row>
    <row r="400" spans="1:10" s="16" customFormat="1" ht="14.25">
      <c r="A400" s="36" t="s">
        <v>34</v>
      </c>
      <c r="B400" s="20" t="s">
        <v>57</v>
      </c>
      <c r="C400" s="20" t="s">
        <v>33</v>
      </c>
      <c r="D400" s="20"/>
      <c r="E400" s="20"/>
      <c r="F400" s="20"/>
      <c r="G400" s="39">
        <f t="shared" si="32"/>
        <v>2148.2000000000044</v>
      </c>
      <c r="H400" s="24">
        <f>H405+H401+H419+H427</f>
        <v>26624.500000000004</v>
      </c>
      <c r="I400" s="24">
        <f>I405+I401+I419+I427</f>
        <v>24476.3</v>
      </c>
      <c r="J400" s="107"/>
    </row>
    <row r="401" spans="1:10" s="16" customFormat="1" ht="14.25">
      <c r="A401" s="135" t="s">
        <v>12</v>
      </c>
      <c r="B401" s="15" t="s">
        <v>57</v>
      </c>
      <c r="C401" s="15" t="s">
        <v>33</v>
      </c>
      <c r="D401" s="15" t="s">
        <v>22</v>
      </c>
      <c r="E401" s="15"/>
      <c r="F401" s="15"/>
      <c r="G401" s="39">
        <f t="shared" si="32"/>
        <v>0</v>
      </c>
      <c r="H401" s="24">
        <f aca="true" t="shared" si="33" ref="H401:I403">H402</f>
        <v>1000</v>
      </c>
      <c r="I401" s="93">
        <f t="shared" si="33"/>
        <v>1000</v>
      </c>
      <c r="J401" s="107"/>
    </row>
    <row r="402" spans="1:10" s="19" customFormat="1" ht="30">
      <c r="A402" s="37" t="s">
        <v>92</v>
      </c>
      <c r="B402" s="23" t="s">
        <v>57</v>
      </c>
      <c r="C402" s="23" t="s">
        <v>33</v>
      </c>
      <c r="D402" s="23" t="s">
        <v>22</v>
      </c>
      <c r="E402" s="23" t="s">
        <v>140</v>
      </c>
      <c r="F402" s="23"/>
      <c r="G402" s="39">
        <f t="shared" si="32"/>
        <v>0</v>
      </c>
      <c r="H402" s="27">
        <f t="shared" si="33"/>
        <v>1000</v>
      </c>
      <c r="I402" s="95">
        <f t="shared" si="33"/>
        <v>1000</v>
      </c>
      <c r="J402" s="101"/>
    </row>
    <row r="403" spans="1:10" s="5" customFormat="1" ht="45">
      <c r="A403" s="44" t="s">
        <v>13</v>
      </c>
      <c r="B403" s="14" t="s">
        <v>57</v>
      </c>
      <c r="C403" s="23" t="s">
        <v>33</v>
      </c>
      <c r="D403" s="23" t="s">
        <v>22</v>
      </c>
      <c r="E403" s="14" t="s">
        <v>184</v>
      </c>
      <c r="F403" s="14"/>
      <c r="G403" s="39">
        <f aca="true" t="shared" si="34" ref="G403:G413">H403-I403</f>
        <v>0</v>
      </c>
      <c r="H403" s="26">
        <f t="shared" si="33"/>
        <v>1000</v>
      </c>
      <c r="I403" s="92">
        <f t="shared" si="33"/>
        <v>1000</v>
      </c>
      <c r="J403" s="97"/>
    </row>
    <row r="404" spans="1:10" s="5" customFormat="1" ht="15">
      <c r="A404" s="45" t="s">
        <v>100</v>
      </c>
      <c r="B404" s="14" t="s">
        <v>57</v>
      </c>
      <c r="C404" s="23" t="s">
        <v>33</v>
      </c>
      <c r="D404" s="23" t="s">
        <v>22</v>
      </c>
      <c r="E404" s="14" t="s">
        <v>184</v>
      </c>
      <c r="F404" s="14" t="s">
        <v>99</v>
      </c>
      <c r="G404" s="39">
        <f t="shared" si="34"/>
        <v>0</v>
      </c>
      <c r="H404" s="26">
        <v>1000</v>
      </c>
      <c r="I404" s="92">
        <v>1000</v>
      </c>
      <c r="J404" s="98"/>
    </row>
    <row r="405" spans="1:10" s="16" customFormat="1" ht="14.25">
      <c r="A405" s="36" t="s">
        <v>56</v>
      </c>
      <c r="B405" s="20" t="s">
        <v>57</v>
      </c>
      <c r="C405" s="20" t="s">
        <v>33</v>
      </c>
      <c r="D405" s="20" t="s">
        <v>23</v>
      </c>
      <c r="E405" s="20"/>
      <c r="F405" s="20"/>
      <c r="G405" s="39">
        <f t="shared" si="34"/>
        <v>326.40000000000146</v>
      </c>
      <c r="H405" s="24">
        <f>H406</f>
        <v>17240.362</v>
      </c>
      <c r="I405" s="24">
        <f>I406</f>
        <v>16913.962</v>
      </c>
      <c r="J405" s="107"/>
    </row>
    <row r="406" spans="1:10" s="16" customFormat="1" ht="30">
      <c r="A406" s="37" t="s">
        <v>92</v>
      </c>
      <c r="B406" s="23" t="s">
        <v>57</v>
      </c>
      <c r="C406" s="23" t="s">
        <v>33</v>
      </c>
      <c r="D406" s="23" t="s">
        <v>23</v>
      </c>
      <c r="E406" s="23" t="s">
        <v>140</v>
      </c>
      <c r="F406" s="23"/>
      <c r="G406" s="39">
        <f t="shared" si="34"/>
        <v>326.40000000000146</v>
      </c>
      <c r="H406" s="27">
        <f>H411+H413+H409+H407</f>
        <v>17240.362</v>
      </c>
      <c r="I406" s="27">
        <f>I411+I413+I409+I407</f>
        <v>16913.962</v>
      </c>
      <c r="J406" s="99"/>
    </row>
    <row r="407" spans="1:10" s="16" customFormat="1" ht="45" hidden="1">
      <c r="A407" s="33" t="s">
        <v>388</v>
      </c>
      <c r="B407" s="23" t="s">
        <v>57</v>
      </c>
      <c r="C407" s="23" t="s">
        <v>33</v>
      </c>
      <c r="D407" s="23" t="s">
        <v>23</v>
      </c>
      <c r="E407" s="23" t="s">
        <v>389</v>
      </c>
      <c r="F407" s="23"/>
      <c r="G407" s="39">
        <f t="shared" si="34"/>
        <v>0</v>
      </c>
      <c r="H407" s="27">
        <f>H408</f>
        <v>0</v>
      </c>
      <c r="I407" s="27">
        <f>I408</f>
        <v>0</v>
      </c>
      <c r="J407" s="99"/>
    </row>
    <row r="408" spans="1:10" s="16" customFormat="1" ht="45" hidden="1">
      <c r="A408" s="33" t="s">
        <v>119</v>
      </c>
      <c r="B408" s="23" t="s">
        <v>57</v>
      </c>
      <c r="C408" s="23" t="s">
        <v>33</v>
      </c>
      <c r="D408" s="23" t="s">
        <v>23</v>
      </c>
      <c r="E408" s="23" t="s">
        <v>389</v>
      </c>
      <c r="F408" s="23" t="s">
        <v>118</v>
      </c>
      <c r="G408" s="39">
        <f t="shared" si="34"/>
        <v>0</v>
      </c>
      <c r="H408" s="27"/>
      <c r="I408" s="95"/>
      <c r="J408" s="99"/>
    </row>
    <row r="409" spans="1:10" s="5" customFormat="1" ht="90">
      <c r="A409" s="45" t="s">
        <v>308</v>
      </c>
      <c r="B409" s="8" t="s">
        <v>57</v>
      </c>
      <c r="C409" s="8" t="s">
        <v>33</v>
      </c>
      <c r="D409" s="8" t="s">
        <v>23</v>
      </c>
      <c r="E409" s="8" t="s">
        <v>201</v>
      </c>
      <c r="F409" s="8"/>
      <c r="G409" s="39">
        <f>H409-I409</f>
        <v>0</v>
      </c>
      <c r="H409" s="26">
        <f>H410</f>
        <v>3153.6</v>
      </c>
      <c r="I409" s="92">
        <f>I410</f>
        <v>3153.6</v>
      </c>
      <c r="J409" s="98"/>
    </row>
    <row r="410" spans="1:10" s="5" customFormat="1" ht="30" customHeight="1">
      <c r="A410" s="78" t="s">
        <v>111</v>
      </c>
      <c r="B410" s="8" t="s">
        <v>57</v>
      </c>
      <c r="C410" s="8" t="s">
        <v>33</v>
      </c>
      <c r="D410" s="8" t="s">
        <v>23</v>
      </c>
      <c r="E410" s="8" t="s">
        <v>201</v>
      </c>
      <c r="F410" s="8" t="s">
        <v>110</v>
      </c>
      <c r="G410" s="39">
        <f>H410-I410</f>
        <v>0</v>
      </c>
      <c r="H410" s="26">
        <v>3153.6</v>
      </c>
      <c r="I410" s="92">
        <v>3153.6</v>
      </c>
      <c r="J410" s="98"/>
    </row>
    <row r="411" spans="1:10" s="16" customFormat="1" ht="105">
      <c r="A411" s="44" t="s">
        <v>309</v>
      </c>
      <c r="B411" s="23" t="s">
        <v>57</v>
      </c>
      <c r="C411" s="23" t="s">
        <v>33</v>
      </c>
      <c r="D411" s="23" t="s">
        <v>23</v>
      </c>
      <c r="E411" s="23" t="s">
        <v>185</v>
      </c>
      <c r="F411" s="23"/>
      <c r="G411" s="39">
        <f t="shared" si="34"/>
        <v>0</v>
      </c>
      <c r="H411" s="27">
        <f>H412</f>
        <v>335.7</v>
      </c>
      <c r="I411" s="27">
        <f>I412</f>
        <v>335.7</v>
      </c>
      <c r="J411" s="99"/>
    </row>
    <row r="412" spans="1:10" s="16" customFormat="1" ht="33" customHeight="1">
      <c r="A412" s="44" t="s">
        <v>111</v>
      </c>
      <c r="B412" s="23" t="s">
        <v>57</v>
      </c>
      <c r="C412" s="23" t="s">
        <v>33</v>
      </c>
      <c r="D412" s="23" t="s">
        <v>23</v>
      </c>
      <c r="E412" s="23" t="s">
        <v>185</v>
      </c>
      <c r="F412" s="23" t="s">
        <v>110</v>
      </c>
      <c r="G412" s="39">
        <f t="shared" si="34"/>
        <v>0</v>
      </c>
      <c r="H412" s="27">
        <v>335.7</v>
      </c>
      <c r="I412" s="95">
        <v>335.7</v>
      </c>
      <c r="J412" s="99"/>
    </row>
    <row r="413" spans="1:10" s="16" customFormat="1" ht="30">
      <c r="A413" s="44" t="s">
        <v>310</v>
      </c>
      <c r="B413" s="23" t="s">
        <v>57</v>
      </c>
      <c r="C413" s="23" t="s">
        <v>33</v>
      </c>
      <c r="D413" s="23" t="s">
        <v>23</v>
      </c>
      <c r="E413" s="23" t="s">
        <v>187</v>
      </c>
      <c r="F413" s="23"/>
      <c r="G413" s="39">
        <f t="shared" si="34"/>
        <v>326.40000000000146</v>
      </c>
      <c r="H413" s="27">
        <f>H418+H414+H415+H417+H416</f>
        <v>13751.062</v>
      </c>
      <c r="I413" s="27">
        <f>I418+I414+I415+I417+I416</f>
        <v>13424.661999999998</v>
      </c>
      <c r="J413" s="99"/>
    </row>
    <row r="414" spans="1:10" s="16" customFormat="1" ht="30" hidden="1">
      <c r="A414" s="44" t="s">
        <v>205</v>
      </c>
      <c r="B414" s="23" t="s">
        <v>57</v>
      </c>
      <c r="C414" s="23" t="s">
        <v>33</v>
      </c>
      <c r="D414" s="23" t="s">
        <v>23</v>
      </c>
      <c r="E414" s="23" t="s">
        <v>187</v>
      </c>
      <c r="F414" s="23" t="s">
        <v>89</v>
      </c>
      <c r="G414" s="39">
        <f>H414-I414</f>
        <v>0</v>
      </c>
      <c r="H414" s="27">
        <f>535-535</f>
        <v>0</v>
      </c>
      <c r="I414" s="95"/>
      <c r="J414" s="99"/>
    </row>
    <row r="415" spans="1:10" s="16" customFormat="1" ht="45" hidden="1">
      <c r="A415" s="44" t="s">
        <v>102</v>
      </c>
      <c r="B415" s="23" t="s">
        <v>57</v>
      </c>
      <c r="C415" s="23" t="s">
        <v>33</v>
      </c>
      <c r="D415" s="23" t="s">
        <v>23</v>
      </c>
      <c r="E415" s="23" t="s">
        <v>187</v>
      </c>
      <c r="F415" s="23" t="s">
        <v>101</v>
      </c>
      <c r="G415" s="39">
        <f>H415-I415</f>
        <v>0</v>
      </c>
      <c r="H415" s="27"/>
      <c r="I415" s="95"/>
      <c r="J415" s="99"/>
    </row>
    <row r="416" spans="1:10" s="16" customFormat="1" ht="61.5" customHeight="1" hidden="1">
      <c r="A416" s="44" t="s">
        <v>186</v>
      </c>
      <c r="B416" s="23" t="s">
        <v>57</v>
      </c>
      <c r="C416" s="23" t="s">
        <v>33</v>
      </c>
      <c r="D416" s="23" t="s">
        <v>23</v>
      </c>
      <c r="E416" s="23" t="s">
        <v>187</v>
      </c>
      <c r="F416" s="23" t="s">
        <v>131</v>
      </c>
      <c r="G416" s="39">
        <f>H416-I416</f>
        <v>0</v>
      </c>
      <c r="H416" s="27">
        <f>162-162</f>
        <v>0</v>
      </c>
      <c r="I416" s="95"/>
      <c r="J416" s="99"/>
    </row>
    <row r="417" spans="1:10" s="16" customFormat="1" ht="45">
      <c r="A417" s="37" t="s">
        <v>87</v>
      </c>
      <c r="B417" s="23" t="s">
        <v>57</v>
      </c>
      <c r="C417" s="23" t="s">
        <v>33</v>
      </c>
      <c r="D417" s="23" t="s">
        <v>23</v>
      </c>
      <c r="E417" s="23" t="s">
        <v>187</v>
      </c>
      <c r="F417" s="23" t="s">
        <v>86</v>
      </c>
      <c r="G417" s="39">
        <f>H417-I417</f>
        <v>0</v>
      </c>
      <c r="H417" s="27">
        <f>150+5.336+27</f>
        <v>182.336</v>
      </c>
      <c r="I417" s="95">
        <v>182.336</v>
      </c>
      <c r="J417" s="99"/>
    </row>
    <row r="418" spans="1:10" s="16" customFormat="1" ht="31.5" customHeight="1">
      <c r="A418" s="44" t="s">
        <v>111</v>
      </c>
      <c r="B418" s="23" t="s">
        <v>57</v>
      </c>
      <c r="C418" s="23" t="s">
        <v>33</v>
      </c>
      <c r="D418" s="23" t="s">
        <v>23</v>
      </c>
      <c r="E418" s="23" t="s">
        <v>187</v>
      </c>
      <c r="F418" s="23" t="s">
        <v>110</v>
      </c>
      <c r="G418" s="39">
        <f>H418-I418</f>
        <v>326.40000000000146</v>
      </c>
      <c r="H418" s="27">
        <f>13388.4-113.738-5.336-27+326.4</f>
        <v>13568.726</v>
      </c>
      <c r="I418" s="95">
        <v>13242.326</v>
      </c>
      <c r="J418" s="99"/>
    </row>
    <row r="419" spans="1:10" s="5" customFormat="1" ht="15">
      <c r="A419" s="36" t="s">
        <v>71</v>
      </c>
      <c r="B419" s="7" t="s">
        <v>57</v>
      </c>
      <c r="C419" s="7" t="s">
        <v>33</v>
      </c>
      <c r="D419" s="7" t="s">
        <v>24</v>
      </c>
      <c r="E419" s="7"/>
      <c r="F419" s="7"/>
      <c r="G419" s="39">
        <f aca="true" t="shared" si="35" ref="G419:G440">H419-I419</f>
        <v>1821.7999999999993</v>
      </c>
      <c r="H419" s="25">
        <f>H420</f>
        <v>6755.4</v>
      </c>
      <c r="I419" s="25">
        <f>I420</f>
        <v>4933.6</v>
      </c>
      <c r="J419" s="98"/>
    </row>
    <row r="420" spans="1:10" s="5" customFormat="1" ht="30">
      <c r="A420" s="37" t="s">
        <v>92</v>
      </c>
      <c r="B420" s="8" t="s">
        <v>57</v>
      </c>
      <c r="C420" s="8" t="s">
        <v>33</v>
      </c>
      <c r="D420" s="8" t="s">
        <v>24</v>
      </c>
      <c r="E420" s="8" t="s">
        <v>140</v>
      </c>
      <c r="F420" s="8"/>
      <c r="G420" s="39">
        <f t="shared" si="35"/>
        <v>1821.7999999999993</v>
      </c>
      <c r="H420" s="26">
        <f>H421+H423+H425</f>
        <v>6755.4</v>
      </c>
      <c r="I420" s="26">
        <f>I421+I423+I425</f>
        <v>4933.6</v>
      </c>
      <c r="J420" s="98"/>
    </row>
    <row r="421" spans="1:10" s="5" customFormat="1" ht="73.5" customHeight="1">
      <c r="A421" s="45" t="s">
        <v>346</v>
      </c>
      <c r="B421" s="8" t="s">
        <v>57</v>
      </c>
      <c r="C421" s="8" t="s">
        <v>33</v>
      </c>
      <c r="D421" s="8" t="s">
        <v>24</v>
      </c>
      <c r="E421" s="8" t="s">
        <v>202</v>
      </c>
      <c r="F421" s="8"/>
      <c r="G421" s="39">
        <f t="shared" si="35"/>
        <v>-528.2</v>
      </c>
      <c r="H421" s="27">
        <f>H422</f>
        <v>350</v>
      </c>
      <c r="I421" s="95">
        <f>I422</f>
        <v>878.2</v>
      </c>
      <c r="J421" s="98"/>
    </row>
    <row r="422" spans="1:10" s="5" customFormat="1" ht="29.25" customHeight="1">
      <c r="A422" s="78" t="s">
        <v>111</v>
      </c>
      <c r="B422" s="8" t="s">
        <v>57</v>
      </c>
      <c r="C422" s="8" t="s">
        <v>33</v>
      </c>
      <c r="D422" s="8" t="s">
        <v>24</v>
      </c>
      <c r="E422" s="8" t="s">
        <v>202</v>
      </c>
      <c r="F422" s="8" t="s">
        <v>110</v>
      </c>
      <c r="G422" s="39">
        <f t="shared" si="35"/>
        <v>-528.2</v>
      </c>
      <c r="H422" s="26">
        <f>878.2-528.2</f>
        <v>350</v>
      </c>
      <c r="I422" s="92">
        <v>878.2</v>
      </c>
      <c r="J422" s="98"/>
    </row>
    <row r="423" spans="1:10" s="5" customFormat="1" ht="20.25" customHeight="1">
      <c r="A423" s="45" t="s">
        <v>311</v>
      </c>
      <c r="B423" s="8" t="s">
        <v>57</v>
      </c>
      <c r="C423" s="8" t="s">
        <v>33</v>
      </c>
      <c r="D423" s="8" t="s">
        <v>24</v>
      </c>
      <c r="E423" s="8" t="s">
        <v>203</v>
      </c>
      <c r="F423" s="8"/>
      <c r="G423" s="39">
        <f t="shared" si="35"/>
        <v>1799.9999999999995</v>
      </c>
      <c r="H423" s="26">
        <f>H424</f>
        <v>4562.4</v>
      </c>
      <c r="I423" s="26">
        <f>I424</f>
        <v>2762.4</v>
      </c>
      <c r="J423" s="98"/>
    </row>
    <row r="424" spans="1:10" s="5" customFormat="1" ht="32.25" customHeight="1">
      <c r="A424" s="78" t="s">
        <v>111</v>
      </c>
      <c r="B424" s="8" t="s">
        <v>57</v>
      </c>
      <c r="C424" s="8" t="s">
        <v>33</v>
      </c>
      <c r="D424" s="8" t="s">
        <v>24</v>
      </c>
      <c r="E424" s="8" t="s">
        <v>203</v>
      </c>
      <c r="F424" s="8" t="s">
        <v>110</v>
      </c>
      <c r="G424" s="39">
        <f t="shared" si="35"/>
        <v>1799.9999999999995</v>
      </c>
      <c r="H424" s="26">
        <f>2468+294.4+1800</f>
        <v>4562.4</v>
      </c>
      <c r="I424" s="92">
        <v>2762.4</v>
      </c>
      <c r="J424" s="98"/>
    </row>
    <row r="425" spans="1:10" s="5" customFormat="1" ht="47.25" customHeight="1">
      <c r="A425" s="132" t="s">
        <v>312</v>
      </c>
      <c r="B425" s="8" t="s">
        <v>57</v>
      </c>
      <c r="C425" s="8" t="s">
        <v>33</v>
      </c>
      <c r="D425" s="8" t="s">
        <v>24</v>
      </c>
      <c r="E425" s="8" t="s">
        <v>204</v>
      </c>
      <c r="F425" s="8"/>
      <c r="G425" s="39">
        <f t="shared" si="35"/>
        <v>550</v>
      </c>
      <c r="H425" s="26">
        <f>H426</f>
        <v>1843</v>
      </c>
      <c r="I425" s="26">
        <f>I426</f>
        <v>1293</v>
      </c>
      <c r="J425" s="98"/>
    </row>
    <row r="426" spans="1:10" s="5" customFormat="1" ht="30">
      <c r="A426" s="37" t="s">
        <v>241</v>
      </c>
      <c r="B426" s="8" t="s">
        <v>57</v>
      </c>
      <c r="C426" s="8" t="s">
        <v>33</v>
      </c>
      <c r="D426" s="8" t="s">
        <v>24</v>
      </c>
      <c r="E426" s="8" t="s">
        <v>204</v>
      </c>
      <c r="F426" s="8" t="s">
        <v>242</v>
      </c>
      <c r="G426" s="39">
        <f t="shared" si="35"/>
        <v>550</v>
      </c>
      <c r="H426" s="26">
        <f>1293+550</f>
        <v>1843</v>
      </c>
      <c r="I426" s="92">
        <v>1293</v>
      </c>
      <c r="J426" s="98"/>
    </row>
    <row r="427" spans="1:10" s="5" customFormat="1" ht="28.5">
      <c r="A427" s="135" t="s">
        <v>271</v>
      </c>
      <c r="B427" s="168">
        <v>902</v>
      </c>
      <c r="C427" s="15" t="s">
        <v>33</v>
      </c>
      <c r="D427" s="15" t="s">
        <v>35</v>
      </c>
      <c r="E427" s="14"/>
      <c r="F427" s="14"/>
      <c r="G427" s="39">
        <f t="shared" si="35"/>
        <v>0</v>
      </c>
      <c r="H427" s="26">
        <f>H436+H428</f>
        <v>1628.738</v>
      </c>
      <c r="I427" s="26">
        <f>I436+I428</f>
        <v>1628.738</v>
      </c>
      <c r="J427" s="98"/>
    </row>
    <row r="428" spans="1:10" s="5" customFormat="1" ht="60" customHeight="1">
      <c r="A428" s="138" t="s">
        <v>313</v>
      </c>
      <c r="B428" s="18" t="s">
        <v>57</v>
      </c>
      <c r="C428" s="23" t="s">
        <v>33</v>
      </c>
      <c r="D428" s="23" t="s">
        <v>35</v>
      </c>
      <c r="E428" s="18" t="s">
        <v>143</v>
      </c>
      <c r="F428" s="18"/>
      <c r="G428" s="39">
        <f t="shared" si="35"/>
        <v>0</v>
      </c>
      <c r="H428" s="26">
        <f>H429</f>
        <v>15</v>
      </c>
      <c r="I428" s="26">
        <f>I429</f>
        <v>15</v>
      </c>
      <c r="J428" s="98"/>
    </row>
    <row r="429" spans="1:10" s="5" customFormat="1" ht="60">
      <c r="A429" s="44" t="s">
        <v>349</v>
      </c>
      <c r="B429" s="18" t="s">
        <v>57</v>
      </c>
      <c r="C429" s="23" t="s">
        <v>33</v>
      </c>
      <c r="D429" s="23" t="s">
        <v>35</v>
      </c>
      <c r="E429" s="8" t="s">
        <v>350</v>
      </c>
      <c r="F429" s="18"/>
      <c r="G429" s="39">
        <f t="shared" si="35"/>
        <v>0</v>
      </c>
      <c r="H429" s="26">
        <f>H430</f>
        <v>15</v>
      </c>
      <c r="I429" s="26">
        <f>I430</f>
        <v>15</v>
      </c>
      <c r="J429" s="98"/>
    </row>
    <row r="430" spans="1:10" s="5" customFormat="1" ht="60">
      <c r="A430" s="44" t="s">
        <v>351</v>
      </c>
      <c r="B430" s="18" t="s">
        <v>57</v>
      </c>
      <c r="C430" s="23" t="s">
        <v>33</v>
      </c>
      <c r="D430" s="23" t="s">
        <v>35</v>
      </c>
      <c r="E430" s="8" t="s">
        <v>352</v>
      </c>
      <c r="F430" s="18"/>
      <c r="G430" s="39">
        <f t="shared" si="35"/>
        <v>0</v>
      </c>
      <c r="H430" s="26">
        <f>H433+H431</f>
        <v>15</v>
      </c>
      <c r="I430" s="26">
        <f>I433+I431</f>
        <v>15</v>
      </c>
      <c r="J430" s="98"/>
    </row>
    <row r="431" spans="1:10" s="5" customFormat="1" ht="30">
      <c r="A431" s="52" t="s">
        <v>115</v>
      </c>
      <c r="B431" s="18" t="s">
        <v>57</v>
      </c>
      <c r="C431" s="23" t="s">
        <v>33</v>
      </c>
      <c r="D431" s="23" t="s">
        <v>35</v>
      </c>
      <c r="E431" s="8" t="s">
        <v>370</v>
      </c>
      <c r="F431" s="18"/>
      <c r="G431" s="39">
        <f t="shared" si="35"/>
        <v>0</v>
      </c>
      <c r="H431" s="26">
        <f>H432</f>
        <v>15</v>
      </c>
      <c r="I431" s="26">
        <f>I432</f>
        <v>15</v>
      </c>
      <c r="J431" s="98"/>
    </row>
    <row r="432" spans="1:10" s="5" customFormat="1" ht="45">
      <c r="A432" s="37" t="s">
        <v>87</v>
      </c>
      <c r="B432" s="18" t="s">
        <v>57</v>
      </c>
      <c r="C432" s="23" t="s">
        <v>33</v>
      </c>
      <c r="D432" s="23" t="s">
        <v>35</v>
      </c>
      <c r="E432" s="8" t="s">
        <v>370</v>
      </c>
      <c r="F432" s="18" t="s">
        <v>86</v>
      </c>
      <c r="G432" s="39">
        <f t="shared" si="35"/>
        <v>0</v>
      </c>
      <c r="H432" s="26">
        <v>15</v>
      </c>
      <c r="I432" s="26">
        <v>15</v>
      </c>
      <c r="J432" s="98"/>
    </row>
    <row r="433" spans="1:10" s="5" customFormat="1" ht="75" hidden="1">
      <c r="A433" s="44" t="s">
        <v>353</v>
      </c>
      <c r="B433" s="18" t="s">
        <v>57</v>
      </c>
      <c r="C433" s="23" t="s">
        <v>33</v>
      </c>
      <c r="D433" s="23" t="s">
        <v>35</v>
      </c>
      <c r="E433" s="8" t="s">
        <v>354</v>
      </c>
      <c r="F433" s="18"/>
      <c r="G433" s="39">
        <f t="shared" si="35"/>
        <v>0</v>
      </c>
      <c r="H433" s="26">
        <f>H434+H435</f>
        <v>0</v>
      </c>
      <c r="I433" s="26">
        <f>I434+I435</f>
        <v>0</v>
      </c>
      <c r="J433" s="98"/>
    </row>
    <row r="434" spans="1:10" s="5" customFormat="1" ht="45" hidden="1">
      <c r="A434" s="37" t="s">
        <v>87</v>
      </c>
      <c r="B434" s="18" t="s">
        <v>57</v>
      </c>
      <c r="C434" s="23" t="s">
        <v>33</v>
      </c>
      <c r="D434" s="23" t="s">
        <v>35</v>
      </c>
      <c r="E434" s="8" t="s">
        <v>354</v>
      </c>
      <c r="F434" s="18" t="s">
        <v>86</v>
      </c>
      <c r="G434" s="39">
        <f t="shared" si="35"/>
        <v>0</v>
      </c>
      <c r="H434" s="26"/>
      <c r="I434" s="26"/>
      <c r="J434" s="98"/>
    </row>
    <row r="435" spans="1:10" s="5" customFormat="1" ht="15" hidden="1">
      <c r="A435" s="77" t="s">
        <v>73</v>
      </c>
      <c r="B435" s="18" t="s">
        <v>57</v>
      </c>
      <c r="C435" s="23" t="s">
        <v>33</v>
      </c>
      <c r="D435" s="23" t="s">
        <v>35</v>
      </c>
      <c r="E435" s="8" t="s">
        <v>354</v>
      </c>
      <c r="F435" s="18" t="s">
        <v>72</v>
      </c>
      <c r="G435" s="39">
        <f t="shared" si="35"/>
        <v>0</v>
      </c>
      <c r="H435" s="26"/>
      <c r="I435" s="26"/>
      <c r="J435" s="98"/>
    </row>
    <row r="436" spans="1:10" s="5" customFormat="1" ht="30">
      <c r="A436" s="44" t="s">
        <v>310</v>
      </c>
      <c r="B436" s="23" t="s">
        <v>57</v>
      </c>
      <c r="C436" s="23" t="s">
        <v>33</v>
      </c>
      <c r="D436" s="23" t="s">
        <v>35</v>
      </c>
      <c r="E436" s="23" t="s">
        <v>187</v>
      </c>
      <c r="F436" s="23"/>
      <c r="G436" s="39">
        <f t="shared" si="35"/>
        <v>0</v>
      </c>
      <c r="H436" s="26">
        <f>H437+H438+H439+H440</f>
        <v>1613.738</v>
      </c>
      <c r="I436" s="26">
        <f>I437+I438+I439+I440</f>
        <v>1613.738</v>
      </c>
      <c r="J436" s="98"/>
    </row>
    <row r="437" spans="1:10" s="5" customFormat="1" ht="30">
      <c r="A437" s="44" t="s">
        <v>205</v>
      </c>
      <c r="B437" s="23" t="s">
        <v>57</v>
      </c>
      <c r="C437" s="23" t="s">
        <v>33</v>
      </c>
      <c r="D437" s="23" t="s">
        <v>35</v>
      </c>
      <c r="E437" s="23" t="s">
        <v>187</v>
      </c>
      <c r="F437" s="23" t="s">
        <v>89</v>
      </c>
      <c r="G437" s="39">
        <f t="shared" si="35"/>
        <v>30</v>
      </c>
      <c r="H437" s="26">
        <f>645+113.738+130+30</f>
        <v>918.738</v>
      </c>
      <c r="I437" s="92">
        <v>888.738</v>
      </c>
      <c r="J437" s="98"/>
    </row>
    <row r="438" spans="1:10" s="5" customFormat="1" ht="45" hidden="1">
      <c r="A438" s="44" t="s">
        <v>102</v>
      </c>
      <c r="B438" s="23" t="s">
        <v>57</v>
      </c>
      <c r="C438" s="23" t="s">
        <v>33</v>
      </c>
      <c r="D438" s="23" t="s">
        <v>23</v>
      </c>
      <c r="E438" s="23" t="s">
        <v>187</v>
      </c>
      <c r="F438" s="23" t="s">
        <v>101</v>
      </c>
      <c r="G438" s="39">
        <f t="shared" si="35"/>
        <v>0</v>
      </c>
      <c r="H438" s="26"/>
      <c r="I438" s="92"/>
      <c r="J438" s="98"/>
    </row>
    <row r="439" spans="1:10" s="5" customFormat="1" ht="61.5" customHeight="1">
      <c r="A439" s="44" t="s">
        <v>186</v>
      </c>
      <c r="B439" s="23" t="s">
        <v>57</v>
      </c>
      <c r="C439" s="23" t="s">
        <v>33</v>
      </c>
      <c r="D439" s="23" t="s">
        <v>35</v>
      </c>
      <c r="E439" s="23" t="s">
        <v>187</v>
      </c>
      <c r="F439" s="23" t="s">
        <v>131</v>
      </c>
      <c r="G439" s="39">
        <f t="shared" si="35"/>
        <v>0</v>
      </c>
      <c r="H439" s="26">
        <v>195</v>
      </c>
      <c r="I439" s="92">
        <v>195</v>
      </c>
      <c r="J439" s="98"/>
    </row>
    <row r="440" spans="1:10" s="5" customFormat="1" ht="45">
      <c r="A440" s="37" t="s">
        <v>87</v>
      </c>
      <c r="B440" s="23" t="s">
        <v>57</v>
      </c>
      <c r="C440" s="23" t="s">
        <v>33</v>
      </c>
      <c r="D440" s="23" t="s">
        <v>35</v>
      </c>
      <c r="E440" s="23" t="s">
        <v>187</v>
      </c>
      <c r="F440" s="23" t="s">
        <v>86</v>
      </c>
      <c r="G440" s="39">
        <f t="shared" si="35"/>
        <v>-30</v>
      </c>
      <c r="H440" s="26">
        <f>660-130-30</f>
        <v>500</v>
      </c>
      <c r="I440" s="92">
        <v>530</v>
      </c>
      <c r="J440" s="98"/>
    </row>
    <row r="441" spans="1:10" s="16" customFormat="1" ht="14.25">
      <c r="A441" s="135" t="s">
        <v>3</v>
      </c>
      <c r="B441" s="15" t="s">
        <v>57</v>
      </c>
      <c r="C441" s="15" t="s">
        <v>40</v>
      </c>
      <c r="D441" s="15"/>
      <c r="E441" s="15"/>
      <c r="F441" s="15"/>
      <c r="G441" s="39">
        <f aca="true" t="shared" si="36" ref="G441:G446">H441-I441</f>
        <v>0</v>
      </c>
      <c r="H441" s="24">
        <f aca="true" t="shared" si="37" ref="H441:I443">H442</f>
        <v>250</v>
      </c>
      <c r="I441" s="93">
        <f t="shared" si="37"/>
        <v>250</v>
      </c>
      <c r="J441" s="107"/>
    </row>
    <row r="442" spans="1:10" s="16" customFormat="1" ht="15" customHeight="1">
      <c r="A442" s="36" t="s">
        <v>64</v>
      </c>
      <c r="B442" s="15" t="s">
        <v>57</v>
      </c>
      <c r="C442" s="15" t="s">
        <v>40</v>
      </c>
      <c r="D442" s="15" t="s">
        <v>22</v>
      </c>
      <c r="E442" s="15"/>
      <c r="F442" s="15"/>
      <c r="G442" s="39">
        <f t="shared" si="36"/>
        <v>0</v>
      </c>
      <c r="H442" s="24">
        <f t="shared" si="37"/>
        <v>250</v>
      </c>
      <c r="I442" s="24">
        <f t="shared" si="37"/>
        <v>250</v>
      </c>
      <c r="J442" s="107"/>
    </row>
    <row r="443" spans="1:10" s="16" customFormat="1" ht="30.75" customHeight="1">
      <c r="A443" s="142" t="s">
        <v>321</v>
      </c>
      <c r="B443" s="23" t="s">
        <v>57</v>
      </c>
      <c r="C443" s="23" t="s">
        <v>40</v>
      </c>
      <c r="D443" s="23" t="s">
        <v>22</v>
      </c>
      <c r="E443" s="23" t="s">
        <v>188</v>
      </c>
      <c r="F443" s="23"/>
      <c r="G443" s="39">
        <f t="shared" si="36"/>
        <v>0</v>
      </c>
      <c r="H443" s="27">
        <f t="shared" si="37"/>
        <v>250</v>
      </c>
      <c r="I443" s="27">
        <f t="shared" si="37"/>
        <v>250</v>
      </c>
      <c r="J443" s="107"/>
    </row>
    <row r="444" spans="1:10" s="5" customFormat="1" ht="30">
      <c r="A444" s="79" t="s">
        <v>76</v>
      </c>
      <c r="B444" s="8" t="s">
        <v>57</v>
      </c>
      <c r="C444" s="8" t="s">
        <v>40</v>
      </c>
      <c r="D444" s="8" t="s">
        <v>22</v>
      </c>
      <c r="E444" s="8" t="s">
        <v>189</v>
      </c>
      <c r="F444" s="8"/>
      <c r="G444" s="39">
        <f t="shared" si="36"/>
        <v>0</v>
      </c>
      <c r="H444" s="26">
        <f>H447+H445+H446+H448</f>
        <v>250</v>
      </c>
      <c r="I444" s="26">
        <f>I447+I445+I446+I448</f>
        <v>250</v>
      </c>
      <c r="J444" s="97"/>
    </row>
    <row r="445" spans="1:10" s="5" customFormat="1" ht="60">
      <c r="A445" s="148" t="s">
        <v>233</v>
      </c>
      <c r="B445" s="8" t="s">
        <v>57</v>
      </c>
      <c r="C445" s="8" t="s">
        <v>40</v>
      </c>
      <c r="D445" s="8" t="s">
        <v>22</v>
      </c>
      <c r="E445" s="8" t="s">
        <v>189</v>
      </c>
      <c r="F445" s="8" t="s">
        <v>232</v>
      </c>
      <c r="G445" s="39">
        <f t="shared" si="36"/>
        <v>9</v>
      </c>
      <c r="H445" s="26">
        <f>140-50+9</f>
        <v>99</v>
      </c>
      <c r="I445" s="92">
        <v>90</v>
      </c>
      <c r="J445" s="97"/>
    </row>
    <row r="446" spans="1:10" s="5" customFormat="1" ht="45" hidden="1">
      <c r="A446" s="44" t="s">
        <v>102</v>
      </c>
      <c r="B446" s="8" t="s">
        <v>57</v>
      </c>
      <c r="C446" s="8" t="s">
        <v>40</v>
      </c>
      <c r="D446" s="8" t="s">
        <v>22</v>
      </c>
      <c r="E446" s="8" t="s">
        <v>189</v>
      </c>
      <c r="F446" s="8" t="s">
        <v>101</v>
      </c>
      <c r="G446" s="39">
        <f t="shared" si="36"/>
        <v>0</v>
      </c>
      <c r="H446" s="26"/>
      <c r="I446" s="92"/>
      <c r="J446" s="97"/>
    </row>
    <row r="447" spans="1:10" s="5" customFormat="1" ht="45">
      <c r="A447" s="37" t="s">
        <v>87</v>
      </c>
      <c r="B447" s="8" t="s">
        <v>57</v>
      </c>
      <c r="C447" s="8" t="s">
        <v>40</v>
      </c>
      <c r="D447" s="8" t="s">
        <v>22</v>
      </c>
      <c r="E447" s="8" t="s">
        <v>189</v>
      </c>
      <c r="F447" s="8" t="s">
        <v>86</v>
      </c>
      <c r="G447" s="39">
        <f aca="true" t="shared" si="38" ref="G447:G460">H447-I447</f>
        <v>-9</v>
      </c>
      <c r="H447" s="26">
        <f>110-9</f>
        <v>101</v>
      </c>
      <c r="I447" s="92">
        <v>110</v>
      </c>
      <c r="J447" s="98"/>
    </row>
    <row r="448" spans="1:10" s="5" customFormat="1" ht="15">
      <c r="A448" s="66" t="s">
        <v>246</v>
      </c>
      <c r="B448" s="8" t="s">
        <v>57</v>
      </c>
      <c r="C448" s="8" t="s">
        <v>40</v>
      </c>
      <c r="D448" s="8" t="s">
        <v>22</v>
      </c>
      <c r="E448" s="8" t="s">
        <v>189</v>
      </c>
      <c r="F448" s="14" t="s">
        <v>245</v>
      </c>
      <c r="G448" s="39">
        <f t="shared" si="38"/>
        <v>0</v>
      </c>
      <c r="H448" s="26">
        <f>50</f>
        <v>50</v>
      </c>
      <c r="I448" s="92">
        <v>50</v>
      </c>
      <c r="J448" s="98"/>
    </row>
    <row r="449" spans="1:10" s="16" customFormat="1" ht="18" customHeight="1">
      <c r="A449" s="135" t="s">
        <v>65</v>
      </c>
      <c r="B449" s="15" t="s">
        <v>57</v>
      </c>
      <c r="C449" s="15" t="s">
        <v>51</v>
      </c>
      <c r="D449" s="15"/>
      <c r="E449" s="15"/>
      <c r="F449" s="15"/>
      <c r="G449" s="39">
        <f t="shared" si="38"/>
        <v>0</v>
      </c>
      <c r="H449" s="24">
        <f aca="true" t="shared" si="39" ref="H449:I452">H450</f>
        <v>1598.7</v>
      </c>
      <c r="I449" s="24">
        <f t="shared" si="39"/>
        <v>1598.7</v>
      </c>
      <c r="J449" s="107"/>
    </row>
    <row r="450" spans="1:10" s="16" customFormat="1" ht="18" customHeight="1">
      <c r="A450" s="135" t="s">
        <v>47</v>
      </c>
      <c r="B450" s="15" t="s">
        <v>57</v>
      </c>
      <c r="C450" s="15" t="s">
        <v>51</v>
      </c>
      <c r="D450" s="15" t="s">
        <v>27</v>
      </c>
      <c r="E450" s="15"/>
      <c r="F450" s="15"/>
      <c r="G450" s="39">
        <f t="shared" si="38"/>
        <v>0</v>
      </c>
      <c r="H450" s="24">
        <f t="shared" si="39"/>
        <v>1598.7</v>
      </c>
      <c r="I450" s="93">
        <f t="shared" si="39"/>
        <v>1598.7</v>
      </c>
      <c r="J450" s="107"/>
    </row>
    <row r="451" spans="1:10" s="5" customFormat="1" ht="30" customHeight="1">
      <c r="A451" s="37" t="s">
        <v>92</v>
      </c>
      <c r="B451" s="35" t="s">
        <v>57</v>
      </c>
      <c r="C451" s="8" t="s">
        <v>51</v>
      </c>
      <c r="D451" s="8" t="s">
        <v>27</v>
      </c>
      <c r="E451" s="8" t="s">
        <v>140</v>
      </c>
      <c r="F451" s="8"/>
      <c r="G451" s="39">
        <f t="shared" si="38"/>
        <v>0</v>
      </c>
      <c r="H451" s="26">
        <f>H452+H454</f>
        <v>1598.7</v>
      </c>
      <c r="I451" s="26">
        <f>I452+I454</f>
        <v>1598.7</v>
      </c>
      <c r="J451" s="97"/>
    </row>
    <row r="452" spans="1:10" s="5" customFormat="1" ht="29.25" customHeight="1">
      <c r="A452" s="71" t="s">
        <v>215</v>
      </c>
      <c r="B452" s="8" t="s">
        <v>57</v>
      </c>
      <c r="C452" s="8" t="s">
        <v>51</v>
      </c>
      <c r="D452" s="8" t="s">
        <v>27</v>
      </c>
      <c r="E452" s="8" t="s">
        <v>216</v>
      </c>
      <c r="F452" s="8"/>
      <c r="G452" s="39">
        <f t="shared" si="38"/>
        <v>0</v>
      </c>
      <c r="H452" s="26">
        <f t="shared" si="39"/>
        <v>300</v>
      </c>
      <c r="I452" s="26">
        <f t="shared" si="39"/>
        <v>300</v>
      </c>
      <c r="J452" s="97"/>
    </row>
    <row r="453" spans="1:10" s="5" customFormat="1" ht="45" customHeight="1">
      <c r="A453" s="45" t="s">
        <v>75</v>
      </c>
      <c r="B453" s="8" t="s">
        <v>57</v>
      </c>
      <c r="C453" s="8" t="s">
        <v>51</v>
      </c>
      <c r="D453" s="8" t="s">
        <v>27</v>
      </c>
      <c r="E453" s="8" t="s">
        <v>216</v>
      </c>
      <c r="F453" s="8" t="s">
        <v>74</v>
      </c>
      <c r="G453" s="39">
        <f t="shared" si="38"/>
        <v>0</v>
      </c>
      <c r="H453" s="26">
        <v>300</v>
      </c>
      <c r="I453" s="92">
        <v>300</v>
      </c>
      <c r="J453" s="98"/>
    </row>
    <row r="454" spans="1:10" s="5" customFormat="1" ht="135">
      <c r="A454" s="33" t="s">
        <v>399</v>
      </c>
      <c r="B454" s="8" t="s">
        <v>57</v>
      </c>
      <c r="C454" s="8" t="s">
        <v>51</v>
      </c>
      <c r="D454" s="8" t="s">
        <v>27</v>
      </c>
      <c r="E454" s="8" t="s">
        <v>341</v>
      </c>
      <c r="F454" s="8"/>
      <c r="G454" s="39">
        <f t="shared" si="38"/>
        <v>0</v>
      </c>
      <c r="H454" s="26">
        <f>H455</f>
        <v>1298.7</v>
      </c>
      <c r="I454" s="26">
        <f>I455</f>
        <v>1298.7</v>
      </c>
      <c r="J454" s="98"/>
    </row>
    <row r="455" spans="1:10" s="5" customFormat="1" ht="15">
      <c r="A455" s="119" t="s">
        <v>401</v>
      </c>
      <c r="B455" s="8" t="s">
        <v>57</v>
      </c>
      <c r="C455" s="8" t="s">
        <v>51</v>
      </c>
      <c r="D455" s="8" t="s">
        <v>27</v>
      </c>
      <c r="E455" s="8" t="s">
        <v>341</v>
      </c>
      <c r="F455" s="8" t="s">
        <v>400</v>
      </c>
      <c r="G455" s="39">
        <f t="shared" si="38"/>
        <v>0</v>
      </c>
      <c r="H455" s="26">
        <v>1298.7</v>
      </c>
      <c r="I455" s="92">
        <v>1298.7</v>
      </c>
      <c r="J455" s="98"/>
    </row>
    <row r="456" spans="1:10" s="16" customFormat="1" ht="28.5" hidden="1">
      <c r="A456" s="151" t="s">
        <v>50</v>
      </c>
      <c r="B456" s="20" t="s">
        <v>57</v>
      </c>
      <c r="C456" s="20" t="s">
        <v>36</v>
      </c>
      <c r="D456" s="20"/>
      <c r="E456" s="20"/>
      <c r="F456" s="20"/>
      <c r="G456" s="39">
        <f t="shared" si="38"/>
        <v>0</v>
      </c>
      <c r="H456" s="24">
        <f aca="true" t="shared" si="40" ref="H456:I459">H457</f>
        <v>0</v>
      </c>
      <c r="I456" s="24">
        <f t="shared" si="40"/>
        <v>0</v>
      </c>
      <c r="J456" s="99"/>
    </row>
    <row r="457" spans="1:10" s="16" customFormat="1" ht="36" customHeight="1" hidden="1">
      <c r="A457" s="150" t="s">
        <v>225</v>
      </c>
      <c r="B457" s="20" t="s">
        <v>57</v>
      </c>
      <c r="C457" s="20" t="s">
        <v>36</v>
      </c>
      <c r="D457" s="20" t="s">
        <v>22</v>
      </c>
      <c r="E457" s="20"/>
      <c r="F457" s="20"/>
      <c r="G457" s="39">
        <f t="shared" si="38"/>
        <v>0</v>
      </c>
      <c r="H457" s="24">
        <f t="shared" si="40"/>
        <v>0</v>
      </c>
      <c r="I457" s="24">
        <f t="shared" si="40"/>
        <v>0</v>
      </c>
      <c r="J457" s="99"/>
    </row>
    <row r="458" spans="1:10" s="5" customFormat="1" ht="30" hidden="1">
      <c r="A458" s="37" t="s">
        <v>92</v>
      </c>
      <c r="B458" s="8" t="s">
        <v>57</v>
      </c>
      <c r="C458" s="8" t="s">
        <v>36</v>
      </c>
      <c r="D458" s="8" t="s">
        <v>22</v>
      </c>
      <c r="E458" s="8" t="s">
        <v>140</v>
      </c>
      <c r="F458" s="8"/>
      <c r="G458" s="39">
        <f t="shared" si="38"/>
        <v>0</v>
      </c>
      <c r="H458" s="26">
        <f t="shared" si="40"/>
        <v>0</v>
      </c>
      <c r="I458" s="26">
        <f t="shared" si="40"/>
        <v>0</v>
      </c>
      <c r="J458" s="98"/>
    </row>
    <row r="459" spans="1:10" s="5" customFormat="1" ht="15" hidden="1">
      <c r="A459" s="37" t="s">
        <v>52</v>
      </c>
      <c r="B459" s="8" t="s">
        <v>57</v>
      </c>
      <c r="C459" s="8" t="s">
        <v>36</v>
      </c>
      <c r="D459" s="8" t="s">
        <v>22</v>
      </c>
      <c r="E459" s="8" t="s">
        <v>222</v>
      </c>
      <c r="F459" s="8"/>
      <c r="G459" s="39">
        <f t="shared" si="38"/>
        <v>0</v>
      </c>
      <c r="H459" s="26">
        <f t="shared" si="40"/>
        <v>0</v>
      </c>
      <c r="I459" s="26">
        <f t="shared" si="40"/>
        <v>0</v>
      </c>
      <c r="J459" s="98"/>
    </row>
    <row r="460" spans="1:10" s="5" customFormat="1" ht="15" hidden="1">
      <c r="A460" s="149" t="s">
        <v>224</v>
      </c>
      <c r="B460" s="8" t="s">
        <v>57</v>
      </c>
      <c r="C460" s="8" t="s">
        <v>36</v>
      </c>
      <c r="D460" s="8" t="s">
        <v>22</v>
      </c>
      <c r="E460" s="8" t="s">
        <v>222</v>
      </c>
      <c r="F460" s="8" t="s">
        <v>223</v>
      </c>
      <c r="G460" s="39">
        <f t="shared" si="38"/>
        <v>0</v>
      </c>
      <c r="H460" s="26">
        <f>171-171</f>
        <v>0</v>
      </c>
      <c r="I460" s="92"/>
      <c r="J460" s="98"/>
    </row>
    <row r="461" spans="1:10" s="5" customFormat="1" ht="15">
      <c r="A461" s="80"/>
      <c r="B461" s="8"/>
      <c r="C461" s="8"/>
      <c r="D461" s="8"/>
      <c r="E461" s="8"/>
      <c r="F461" s="8"/>
      <c r="G461" s="39"/>
      <c r="H461" s="38"/>
      <c r="I461" s="91"/>
      <c r="J461" s="98"/>
    </row>
    <row r="462" spans="1:10" s="16" customFormat="1" ht="28.5">
      <c r="A462" s="141" t="s">
        <v>82</v>
      </c>
      <c r="B462" s="20" t="s">
        <v>80</v>
      </c>
      <c r="C462" s="20"/>
      <c r="D462" s="20"/>
      <c r="E462" s="20"/>
      <c r="F462" s="20"/>
      <c r="G462" s="39">
        <f>H462-I462</f>
        <v>0</v>
      </c>
      <c r="H462" s="39">
        <f>H464+H484</f>
        <v>1353.4999999999998</v>
      </c>
      <c r="I462" s="39">
        <f>I464+I484</f>
        <v>1353.5</v>
      </c>
      <c r="J462" s="104"/>
    </row>
    <row r="463" spans="1:10" s="16" customFormat="1" ht="14.25">
      <c r="A463" s="123" t="s">
        <v>58</v>
      </c>
      <c r="B463" s="20" t="s">
        <v>80</v>
      </c>
      <c r="C463" s="15" t="s">
        <v>22</v>
      </c>
      <c r="D463" s="15"/>
      <c r="E463" s="15"/>
      <c r="F463" s="15"/>
      <c r="G463" s="39">
        <f>H463-I463</f>
        <v>0</v>
      </c>
      <c r="H463" s="39">
        <f>H464</f>
        <v>1353.4999999999998</v>
      </c>
      <c r="I463" s="39">
        <f>I464</f>
        <v>1353.5</v>
      </c>
      <c r="J463" s="104"/>
    </row>
    <row r="464" spans="1:10" s="16" customFormat="1" ht="45" customHeight="1">
      <c r="A464" s="51" t="s">
        <v>11</v>
      </c>
      <c r="B464" s="20" t="s">
        <v>80</v>
      </c>
      <c r="C464" s="15" t="s">
        <v>22</v>
      </c>
      <c r="D464" s="15" t="s">
        <v>35</v>
      </c>
      <c r="E464" s="15"/>
      <c r="F464" s="15"/>
      <c r="G464" s="39">
        <f aca="true" t="shared" si="41" ref="G464:G489">H464-I464</f>
        <v>0</v>
      </c>
      <c r="H464" s="24">
        <f>H465+H478</f>
        <v>1353.4999999999998</v>
      </c>
      <c r="I464" s="24">
        <f>I465+I478</f>
        <v>1353.5</v>
      </c>
      <c r="J464" s="107"/>
    </row>
    <row r="465" spans="1:10" s="9" customFormat="1" ht="17.25" customHeight="1">
      <c r="A465" s="45" t="s">
        <v>91</v>
      </c>
      <c r="B465" s="8" t="s">
        <v>80</v>
      </c>
      <c r="C465" s="14" t="s">
        <v>22</v>
      </c>
      <c r="D465" s="14" t="s">
        <v>35</v>
      </c>
      <c r="E465" s="14" t="s">
        <v>134</v>
      </c>
      <c r="F465" s="14"/>
      <c r="G465" s="39">
        <f t="shared" si="41"/>
        <v>0</v>
      </c>
      <c r="H465" s="27">
        <f>H466+H474</f>
        <v>1008.6999999999998</v>
      </c>
      <c r="I465" s="95">
        <f>I466+I474</f>
        <v>1008.7</v>
      </c>
      <c r="J465" s="101"/>
    </row>
    <row r="466" spans="1:10" s="9" customFormat="1" ht="16.5" customHeight="1">
      <c r="A466" s="45" t="s">
        <v>91</v>
      </c>
      <c r="B466" s="8" t="s">
        <v>80</v>
      </c>
      <c r="C466" s="14" t="s">
        <v>22</v>
      </c>
      <c r="D466" s="14" t="s">
        <v>35</v>
      </c>
      <c r="E466" s="14" t="s">
        <v>135</v>
      </c>
      <c r="F466" s="14"/>
      <c r="G466" s="39">
        <f t="shared" si="41"/>
        <v>-202.59999999999997</v>
      </c>
      <c r="H466" s="27">
        <f>H470+H472+H471+H473+H468+H467+H469</f>
        <v>148</v>
      </c>
      <c r="I466" s="27">
        <f>I470+I472+I471+I473+I468+I467+I469</f>
        <v>350.59999999999997</v>
      </c>
      <c r="J466" s="101"/>
    </row>
    <row r="467" spans="1:10" s="9" customFormat="1" ht="30.75" customHeight="1">
      <c r="A467" s="44" t="s">
        <v>130</v>
      </c>
      <c r="B467" s="8" t="s">
        <v>80</v>
      </c>
      <c r="C467" s="14" t="s">
        <v>22</v>
      </c>
      <c r="D467" s="14" t="s">
        <v>35</v>
      </c>
      <c r="E467" s="14" t="s">
        <v>135</v>
      </c>
      <c r="F467" s="14" t="s">
        <v>89</v>
      </c>
      <c r="G467" s="39">
        <f t="shared" si="41"/>
        <v>-136</v>
      </c>
      <c r="H467" s="27">
        <f>252.4-10-136</f>
        <v>106.4</v>
      </c>
      <c r="I467" s="95">
        <v>242.4</v>
      </c>
      <c r="J467" s="101"/>
    </row>
    <row r="468" spans="1:10" s="9" customFormat="1" ht="30.75" customHeight="1">
      <c r="A468" s="45" t="s">
        <v>102</v>
      </c>
      <c r="B468" s="8" t="s">
        <v>80</v>
      </c>
      <c r="C468" s="14" t="s">
        <v>22</v>
      </c>
      <c r="D468" s="14" t="s">
        <v>35</v>
      </c>
      <c r="E468" s="14" t="s">
        <v>135</v>
      </c>
      <c r="F468" s="14" t="s">
        <v>101</v>
      </c>
      <c r="G468" s="39">
        <f t="shared" si="41"/>
        <v>-10</v>
      </c>
      <c r="H468" s="27"/>
      <c r="I468" s="95">
        <v>10</v>
      </c>
      <c r="J468" s="101"/>
    </row>
    <row r="469" spans="1:10" s="9" customFormat="1" ht="61.5" customHeight="1">
      <c r="A469" s="44" t="s">
        <v>186</v>
      </c>
      <c r="B469" s="8" t="s">
        <v>80</v>
      </c>
      <c r="C469" s="14" t="s">
        <v>22</v>
      </c>
      <c r="D469" s="14" t="s">
        <v>35</v>
      </c>
      <c r="E469" s="14" t="s">
        <v>135</v>
      </c>
      <c r="F469" s="14" t="s">
        <v>131</v>
      </c>
      <c r="G469" s="39">
        <f t="shared" si="41"/>
        <v>-56.6</v>
      </c>
      <c r="H469" s="27">
        <f>76.2-3-56.6</f>
        <v>16.6</v>
      </c>
      <c r="I469" s="95">
        <v>73.2</v>
      </c>
      <c r="J469" s="101"/>
    </row>
    <row r="470" spans="1:10" s="9" customFormat="1" ht="33" customHeight="1">
      <c r="A470" s="45" t="s">
        <v>88</v>
      </c>
      <c r="B470" s="8" t="s">
        <v>80</v>
      </c>
      <c r="C470" s="14" t="s">
        <v>22</v>
      </c>
      <c r="D470" s="14" t="s">
        <v>35</v>
      </c>
      <c r="E470" s="14" t="s">
        <v>135</v>
      </c>
      <c r="F470" s="64" t="s">
        <v>86</v>
      </c>
      <c r="G470" s="39">
        <f>H470-I470+23.5-23.5</f>
        <v>0</v>
      </c>
      <c r="H470" s="27">
        <v>25</v>
      </c>
      <c r="I470" s="95">
        <v>25</v>
      </c>
      <c r="J470" s="98"/>
    </row>
    <row r="471" spans="1:10" s="9" customFormat="1" ht="30" customHeight="1" hidden="1">
      <c r="A471" s="66" t="s">
        <v>108</v>
      </c>
      <c r="B471" s="8" t="s">
        <v>80</v>
      </c>
      <c r="C471" s="14" t="s">
        <v>22</v>
      </c>
      <c r="D471" s="14" t="s">
        <v>35</v>
      </c>
      <c r="E471" s="14" t="s">
        <v>135</v>
      </c>
      <c r="F471" s="64" t="s">
        <v>106</v>
      </c>
      <c r="G471" s="39">
        <f>H471-I471+23.5-23.5</f>
        <v>0</v>
      </c>
      <c r="H471" s="27"/>
      <c r="I471" s="95"/>
      <c r="J471" s="98"/>
    </row>
    <row r="472" spans="1:10" s="9" customFormat="1" ht="15" hidden="1">
      <c r="A472" s="45" t="s">
        <v>109</v>
      </c>
      <c r="B472" s="8" t="s">
        <v>80</v>
      </c>
      <c r="C472" s="14" t="s">
        <v>22</v>
      </c>
      <c r="D472" s="14" t="s">
        <v>35</v>
      </c>
      <c r="E472" s="14" t="s">
        <v>135</v>
      </c>
      <c r="F472" s="64" t="s">
        <v>107</v>
      </c>
      <c r="G472" s="39">
        <f t="shared" si="41"/>
        <v>0</v>
      </c>
      <c r="H472" s="27"/>
      <c r="I472" s="95"/>
      <c r="J472" s="98"/>
    </row>
    <row r="473" spans="1:10" s="9" customFormat="1" ht="15" hidden="1">
      <c r="A473" s="37" t="s">
        <v>230</v>
      </c>
      <c r="B473" s="8" t="s">
        <v>80</v>
      </c>
      <c r="C473" s="14" t="s">
        <v>22</v>
      </c>
      <c r="D473" s="14" t="s">
        <v>35</v>
      </c>
      <c r="E473" s="14" t="s">
        <v>135</v>
      </c>
      <c r="F473" s="64" t="s">
        <v>228</v>
      </c>
      <c r="G473" s="39">
        <f t="shared" si="41"/>
        <v>0</v>
      </c>
      <c r="H473" s="27"/>
      <c r="I473" s="95"/>
      <c r="J473" s="98"/>
    </row>
    <row r="474" spans="1:10" s="9" customFormat="1" ht="31.5" customHeight="1">
      <c r="A474" s="144" t="s">
        <v>63</v>
      </c>
      <c r="B474" s="8" t="s">
        <v>80</v>
      </c>
      <c r="C474" s="14" t="s">
        <v>22</v>
      </c>
      <c r="D474" s="14" t="s">
        <v>35</v>
      </c>
      <c r="E474" s="14" t="s">
        <v>190</v>
      </c>
      <c r="F474" s="14"/>
      <c r="G474" s="39">
        <f t="shared" si="41"/>
        <v>202.5999999999998</v>
      </c>
      <c r="H474" s="27">
        <f>H475+H476+H477</f>
        <v>860.6999999999998</v>
      </c>
      <c r="I474" s="27">
        <f>I475+I476+I477</f>
        <v>658.1</v>
      </c>
      <c r="J474" s="101"/>
    </row>
    <row r="475" spans="1:10" s="9" customFormat="1" ht="30" customHeight="1">
      <c r="A475" s="44" t="s">
        <v>130</v>
      </c>
      <c r="B475" s="8" t="s">
        <v>80</v>
      </c>
      <c r="C475" s="14" t="s">
        <v>22</v>
      </c>
      <c r="D475" s="14" t="s">
        <v>35</v>
      </c>
      <c r="E475" s="14" t="s">
        <v>190</v>
      </c>
      <c r="F475" s="14" t="s">
        <v>89</v>
      </c>
      <c r="G475" s="39">
        <f t="shared" si="41"/>
        <v>140.99999999999994</v>
      </c>
      <c r="H475" s="27">
        <f>631.4-52.6-52.6-21+5+136</f>
        <v>646.1999999999999</v>
      </c>
      <c r="I475" s="95">
        <v>505.2</v>
      </c>
      <c r="J475" s="98"/>
    </row>
    <row r="476" spans="1:10" s="9" customFormat="1" ht="60.75" customHeight="1">
      <c r="A476" s="44" t="s">
        <v>186</v>
      </c>
      <c r="B476" s="8" t="s">
        <v>80</v>
      </c>
      <c r="C476" s="14" t="s">
        <v>22</v>
      </c>
      <c r="D476" s="14" t="s">
        <v>35</v>
      </c>
      <c r="E476" s="14" t="s">
        <v>190</v>
      </c>
      <c r="F476" s="14" t="s">
        <v>131</v>
      </c>
      <c r="G476" s="39">
        <f t="shared" si="41"/>
        <v>61.549999999999955</v>
      </c>
      <c r="H476" s="27">
        <f>190.7-15.9-15.9-6-0.05+56.6-5+10</f>
        <v>214.44999999999996</v>
      </c>
      <c r="I476" s="95">
        <v>152.9</v>
      </c>
      <c r="J476" s="98"/>
    </row>
    <row r="477" spans="1:10" s="9" customFormat="1" ht="15">
      <c r="A477" s="66" t="s">
        <v>230</v>
      </c>
      <c r="B477" s="8" t="s">
        <v>80</v>
      </c>
      <c r="C477" s="14" t="s">
        <v>22</v>
      </c>
      <c r="D477" s="14" t="s">
        <v>35</v>
      </c>
      <c r="E477" s="14" t="s">
        <v>190</v>
      </c>
      <c r="F477" s="14" t="s">
        <v>228</v>
      </c>
      <c r="G477" s="39">
        <f t="shared" si="41"/>
        <v>0.05</v>
      </c>
      <c r="H477" s="27">
        <v>0.05</v>
      </c>
      <c r="I477" s="95"/>
      <c r="J477" s="98"/>
    </row>
    <row r="478" spans="1:10" s="9" customFormat="1" ht="30">
      <c r="A478" s="80" t="s">
        <v>92</v>
      </c>
      <c r="B478" s="8" t="s">
        <v>80</v>
      </c>
      <c r="C478" s="14" t="s">
        <v>22</v>
      </c>
      <c r="D478" s="14" t="s">
        <v>35</v>
      </c>
      <c r="E478" s="14" t="s">
        <v>140</v>
      </c>
      <c r="F478" s="14"/>
      <c r="G478" s="39">
        <f t="shared" si="41"/>
        <v>0</v>
      </c>
      <c r="H478" s="27">
        <f>H479</f>
        <v>344.8</v>
      </c>
      <c r="I478" s="27">
        <f>I479</f>
        <v>344.8</v>
      </c>
      <c r="J478" s="98"/>
    </row>
    <row r="479" spans="1:10" s="9" customFormat="1" ht="75">
      <c r="A479" s="45" t="s">
        <v>206</v>
      </c>
      <c r="B479" s="8" t="s">
        <v>80</v>
      </c>
      <c r="C479" s="14" t="s">
        <v>22</v>
      </c>
      <c r="D479" s="14" t="s">
        <v>35</v>
      </c>
      <c r="E479" s="14" t="s">
        <v>191</v>
      </c>
      <c r="F479" s="14"/>
      <c r="G479" s="39">
        <f t="shared" si="41"/>
        <v>0</v>
      </c>
      <c r="H479" s="27">
        <f>H483+H481+H480+H482</f>
        <v>344.8</v>
      </c>
      <c r="I479" s="27">
        <f>I483+I481+I480+I482</f>
        <v>344.8</v>
      </c>
      <c r="J479" s="98"/>
    </row>
    <row r="480" spans="1:10" s="9" customFormat="1" ht="30">
      <c r="A480" s="44" t="s">
        <v>130</v>
      </c>
      <c r="B480" s="8" t="s">
        <v>80</v>
      </c>
      <c r="C480" s="14" t="s">
        <v>22</v>
      </c>
      <c r="D480" s="14" t="s">
        <v>35</v>
      </c>
      <c r="E480" s="14" t="s">
        <v>191</v>
      </c>
      <c r="F480" s="14" t="s">
        <v>89</v>
      </c>
      <c r="G480" s="39">
        <f t="shared" si="41"/>
        <v>0</v>
      </c>
      <c r="H480" s="27">
        <f>255-2.85-1.512</f>
        <v>250.638</v>
      </c>
      <c r="I480" s="95">
        <v>250.638</v>
      </c>
      <c r="J480" s="98"/>
    </row>
    <row r="481" spans="1:10" s="9" customFormat="1" ht="45">
      <c r="A481" s="45" t="s">
        <v>102</v>
      </c>
      <c r="B481" s="8" t="s">
        <v>80</v>
      </c>
      <c r="C481" s="14" t="s">
        <v>22</v>
      </c>
      <c r="D481" s="14" t="s">
        <v>35</v>
      </c>
      <c r="E481" s="14" t="s">
        <v>191</v>
      </c>
      <c r="F481" s="14" t="s">
        <v>101</v>
      </c>
      <c r="G481" s="39">
        <f t="shared" si="41"/>
        <v>0</v>
      </c>
      <c r="H481" s="27">
        <f>1.512</f>
        <v>1.512</v>
      </c>
      <c r="I481" s="95">
        <v>1.512</v>
      </c>
      <c r="J481" s="98"/>
    </row>
    <row r="482" spans="1:10" s="9" customFormat="1" ht="45.75" customHeight="1">
      <c r="A482" s="44" t="s">
        <v>186</v>
      </c>
      <c r="B482" s="8" t="s">
        <v>80</v>
      </c>
      <c r="C482" s="14" t="s">
        <v>22</v>
      </c>
      <c r="D482" s="14" t="s">
        <v>35</v>
      </c>
      <c r="E482" s="14" t="s">
        <v>191</v>
      </c>
      <c r="F482" s="14" t="s">
        <v>131</v>
      </c>
      <c r="G482" s="39">
        <f t="shared" si="41"/>
        <v>0</v>
      </c>
      <c r="H482" s="27">
        <v>89.8</v>
      </c>
      <c r="I482" s="95">
        <v>89.8</v>
      </c>
      <c r="J482" s="98"/>
    </row>
    <row r="483" spans="1:10" s="9" customFormat="1" ht="30">
      <c r="A483" s="45" t="s">
        <v>88</v>
      </c>
      <c r="B483" s="8" t="s">
        <v>80</v>
      </c>
      <c r="C483" s="14" t="s">
        <v>22</v>
      </c>
      <c r="D483" s="14" t="s">
        <v>35</v>
      </c>
      <c r="E483" s="14" t="s">
        <v>191</v>
      </c>
      <c r="F483" s="14" t="s">
        <v>86</v>
      </c>
      <c r="G483" s="39">
        <f t="shared" si="41"/>
        <v>0</v>
      </c>
      <c r="H483" s="27">
        <f>2.85</f>
        <v>2.85</v>
      </c>
      <c r="I483" s="95">
        <v>2.85</v>
      </c>
      <c r="J483" s="98"/>
    </row>
    <row r="484" spans="1:10" s="16" customFormat="1" ht="14.25" hidden="1">
      <c r="A484" s="36" t="s">
        <v>26</v>
      </c>
      <c r="B484" s="20" t="s">
        <v>80</v>
      </c>
      <c r="C484" s="20" t="s">
        <v>25</v>
      </c>
      <c r="D484" s="15"/>
      <c r="E484" s="15"/>
      <c r="F484" s="15"/>
      <c r="G484" s="39">
        <f t="shared" si="41"/>
        <v>0</v>
      </c>
      <c r="H484" s="24">
        <f aca="true" t="shared" si="42" ref="H484:I487">H485</f>
        <v>0</v>
      </c>
      <c r="I484" s="24">
        <f t="shared" si="42"/>
        <v>0</v>
      </c>
      <c r="J484" s="99"/>
    </row>
    <row r="485" spans="1:10" s="16" customFormat="1" ht="28.5" hidden="1">
      <c r="A485" s="126" t="s">
        <v>256</v>
      </c>
      <c r="B485" s="20" t="s">
        <v>80</v>
      </c>
      <c r="C485" s="20" t="s">
        <v>25</v>
      </c>
      <c r="D485" s="20" t="s">
        <v>43</v>
      </c>
      <c r="E485" s="15"/>
      <c r="F485" s="15"/>
      <c r="G485" s="39">
        <f t="shared" si="41"/>
        <v>0</v>
      </c>
      <c r="H485" s="24">
        <f t="shared" si="42"/>
        <v>0</v>
      </c>
      <c r="I485" s="24">
        <f t="shared" si="42"/>
        <v>0</v>
      </c>
      <c r="J485" s="99"/>
    </row>
    <row r="486" spans="1:10" s="9" customFormat="1" ht="30" hidden="1">
      <c r="A486" s="45" t="s">
        <v>91</v>
      </c>
      <c r="B486" s="8" t="s">
        <v>80</v>
      </c>
      <c r="C486" s="14" t="s">
        <v>25</v>
      </c>
      <c r="D486" s="14" t="s">
        <v>43</v>
      </c>
      <c r="E486" s="14" t="s">
        <v>134</v>
      </c>
      <c r="F486" s="64"/>
      <c r="G486" s="39">
        <f t="shared" si="41"/>
        <v>0</v>
      </c>
      <c r="H486" s="27">
        <f t="shared" si="42"/>
        <v>0</v>
      </c>
      <c r="I486" s="27">
        <f t="shared" si="42"/>
        <v>0</v>
      </c>
      <c r="J486" s="98"/>
    </row>
    <row r="487" spans="1:10" s="9" customFormat="1" ht="45" hidden="1">
      <c r="A487" s="45" t="s">
        <v>84</v>
      </c>
      <c r="B487" s="8" t="s">
        <v>80</v>
      </c>
      <c r="C487" s="14" t="s">
        <v>25</v>
      </c>
      <c r="D487" s="14" t="s">
        <v>43</v>
      </c>
      <c r="E487" s="14" t="s">
        <v>135</v>
      </c>
      <c r="F487" s="14"/>
      <c r="G487" s="39">
        <f t="shared" si="41"/>
        <v>0</v>
      </c>
      <c r="H487" s="27">
        <f t="shared" si="42"/>
        <v>0</v>
      </c>
      <c r="I487" s="27">
        <f t="shared" si="42"/>
        <v>0</v>
      </c>
      <c r="J487" s="98"/>
    </row>
    <row r="488" spans="1:10" s="9" customFormat="1" ht="30" hidden="1">
      <c r="A488" s="45" t="s">
        <v>88</v>
      </c>
      <c r="B488" s="8" t="s">
        <v>80</v>
      </c>
      <c r="C488" s="14" t="s">
        <v>25</v>
      </c>
      <c r="D488" s="14" t="s">
        <v>43</v>
      </c>
      <c r="E488" s="14" t="s">
        <v>135</v>
      </c>
      <c r="F488" s="14" t="s">
        <v>86</v>
      </c>
      <c r="G488" s="39">
        <f t="shared" si="41"/>
        <v>0</v>
      </c>
      <c r="H488" s="27"/>
      <c r="I488" s="95"/>
      <c r="J488" s="98"/>
    </row>
    <row r="489" spans="1:10" s="5" customFormat="1" ht="15">
      <c r="A489" s="80"/>
      <c r="B489" s="8"/>
      <c r="C489" s="8"/>
      <c r="D489" s="8"/>
      <c r="E489" s="8"/>
      <c r="F489" s="8"/>
      <c r="G489" s="39">
        <f t="shared" si="41"/>
        <v>0</v>
      </c>
      <c r="H489" s="38"/>
      <c r="I489" s="91"/>
      <c r="J489" s="98"/>
    </row>
    <row r="490" spans="1:10" s="1" customFormat="1" ht="14.25">
      <c r="A490" s="137" t="s">
        <v>49</v>
      </c>
      <c r="B490" s="43"/>
      <c r="C490" s="43"/>
      <c r="D490" s="43"/>
      <c r="E490" s="43"/>
      <c r="F490" s="43"/>
      <c r="G490" s="39">
        <f>H490-I490</f>
        <v>2470.0140000000247</v>
      </c>
      <c r="H490" s="25">
        <f>H12+H29+H462</f>
        <v>283267.65</v>
      </c>
      <c r="I490" s="25">
        <f>I12+I29+I462</f>
        <v>280797.636</v>
      </c>
      <c r="J490" s="102"/>
    </row>
    <row r="491" spans="1:10" s="1" customFormat="1" ht="15">
      <c r="A491" s="145"/>
      <c r="B491" s="30"/>
      <c r="C491" s="30"/>
      <c r="D491" s="30"/>
      <c r="E491" s="30"/>
      <c r="F491" s="30"/>
      <c r="G491" s="13"/>
      <c r="H491" s="13"/>
      <c r="I491" s="13"/>
      <c r="J491" s="103"/>
    </row>
    <row r="492" spans="1:10" s="1" customFormat="1" ht="15">
      <c r="A492" s="146"/>
      <c r="B492" s="30"/>
      <c r="C492" s="30"/>
      <c r="D492" s="30"/>
      <c r="E492" s="30"/>
      <c r="F492" s="30"/>
      <c r="G492" s="13"/>
      <c r="H492" s="13"/>
      <c r="I492" s="60"/>
      <c r="J492" s="103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  <row r="929" spans="9:10" ht="14.25">
      <c r="I929" s="112"/>
      <c r="J929" s="111"/>
    </row>
    <row r="930" spans="9:10" ht="14.25">
      <c r="I930" s="112"/>
      <c r="J930" s="111"/>
    </row>
    <row r="931" spans="9:10" ht="14.25">
      <c r="I931" s="112"/>
      <c r="J931" s="111"/>
    </row>
    <row r="932" spans="9:10" ht="14.25">
      <c r="I932" s="112"/>
      <c r="J932" s="111"/>
    </row>
    <row r="933" spans="9:10" ht="14.25">
      <c r="I933" s="112"/>
      <c r="J933" s="111"/>
    </row>
    <row r="934" spans="9:10" ht="14.25">
      <c r="I934" s="112"/>
      <c r="J934" s="111"/>
    </row>
    <row r="935" spans="9:10" ht="14.25">
      <c r="I935" s="112"/>
      <c r="J935" s="111"/>
    </row>
    <row r="936" spans="9:10" ht="14.25">
      <c r="I936" s="112"/>
      <c r="J936" s="111"/>
    </row>
    <row r="937" spans="9:10" ht="14.25">
      <c r="I937" s="112"/>
      <c r="J937" s="111"/>
    </row>
    <row r="938" spans="9:10" ht="14.25">
      <c r="I938" s="112"/>
      <c r="J938" s="111"/>
    </row>
    <row r="939" spans="9:10" ht="14.25">
      <c r="I939" s="112"/>
      <c r="J939" s="111"/>
    </row>
    <row r="940" spans="9:10" ht="14.25">
      <c r="I940" s="112"/>
      <c r="J940" s="111"/>
    </row>
    <row r="941" spans="9:10" ht="14.25">
      <c r="I941" s="112"/>
      <c r="J941" s="111"/>
    </row>
    <row r="942" spans="9:10" ht="14.25">
      <c r="I942" s="112"/>
      <c r="J942" s="111"/>
    </row>
    <row r="943" spans="9:10" ht="14.25">
      <c r="I943" s="112"/>
      <c r="J943" s="111"/>
    </row>
    <row r="944" spans="9:10" ht="14.25">
      <c r="I944" s="112"/>
      <c r="J944" s="111"/>
    </row>
    <row r="945" spans="9:10" ht="14.25">
      <c r="I945" s="112"/>
      <c r="J945" s="111"/>
    </row>
    <row r="946" spans="9:10" ht="14.25">
      <c r="I946" s="112"/>
      <c r="J946" s="111"/>
    </row>
    <row r="947" spans="9:10" ht="14.25">
      <c r="I947" s="112"/>
      <c r="J947" s="111"/>
    </row>
    <row r="948" spans="9:10" ht="14.25">
      <c r="I948" s="112"/>
      <c r="J948" s="111"/>
    </row>
    <row r="949" spans="9:10" ht="14.25">
      <c r="I949" s="112"/>
      <c r="J949" s="111"/>
    </row>
    <row r="950" spans="9:10" ht="14.25">
      <c r="I950" s="112"/>
      <c r="J950" s="111"/>
    </row>
    <row r="951" spans="9:10" ht="14.25">
      <c r="I951" s="112"/>
      <c r="J951" s="111"/>
    </row>
    <row r="952" spans="9:10" ht="14.25">
      <c r="I952" s="112"/>
      <c r="J952" s="111"/>
    </row>
    <row r="953" spans="9:10" ht="14.25">
      <c r="I953" s="112"/>
      <c r="J953" s="111"/>
    </row>
    <row r="954" spans="9:10" ht="14.25">
      <c r="I954" s="112"/>
      <c r="J954" s="111"/>
    </row>
    <row r="955" spans="9:10" ht="14.25">
      <c r="I955" s="112"/>
      <c r="J955" s="111"/>
    </row>
    <row r="956" spans="9:10" ht="14.25">
      <c r="I956" s="112"/>
      <c r="J956" s="111"/>
    </row>
    <row r="957" spans="9:10" ht="14.25">
      <c r="I957" s="112"/>
      <c r="J957" s="111"/>
    </row>
    <row r="958" spans="9:10" ht="14.25">
      <c r="I958" s="112"/>
      <c r="J958" s="111"/>
    </row>
    <row r="959" spans="9:10" ht="14.25">
      <c r="I959" s="112"/>
      <c r="J959" s="111"/>
    </row>
    <row r="960" spans="9:10" ht="14.25">
      <c r="I960" s="112"/>
      <c r="J960" s="111"/>
    </row>
    <row r="961" spans="9:10" ht="14.25">
      <c r="I961" s="112"/>
      <c r="J961" s="111"/>
    </row>
    <row r="962" spans="9:10" ht="14.25">
      <c r="I962" s="112"/>
      <c r="J962" s="111"/>
    </row>
    <row r="963" spans="9:10" ht="14.25">
      <c r="I963" s="112"/>
      <c r="J963" s="111"/>
    </row>
    <row r="964" spans="9:10" ht="14.25">
      <c r="I964" s="112"/>
      <c r="J964" s="111"/>
    </row>
    <row r="965" spans="9:10" ht="14.25">
      <c r="I965" s="112"/>
      <c r="J965" s="111"/>
    </row>
    <row r="966" spans="9:10" ht="14.25">
      <c r="I966" s="112"/>
      <c r="J966" s="111"/>
    </row>
    <row r="967" spans="9:10" ht="14.25">
      <c r="I967" s="112"/>
      <c r="J967" s="111"/>
    </row>
    <row r="968" spans="9:10" ht="14.25">
      <c r="I968" s="112"/>
      <c r="J968" s="111"/>
    </row>
    <row r="969" spans="9:10" ht="14.25">
      <c r="I969" s="112"/>
      <c r="J969" s="111"/>
    </row>
    <row r="970" spans="9:10" ht="14.25">
      <c r="I970" s="112"/>
      <c r="J970" s="111"/>
    </row>
    <row r="971" spans="9:10" ht="14.25">
      <c r="I971" s="112"/>
      <c r="J971" s="111"/>
    </row>
    <row r="972" spans="9:10" ht="14.25">
      <c r="I972" s="112"/>
      <c r="J972" s="111"/>
    </row>
    <row r="973" spans="9:10" ht="14.25">
      <c r="I973" s="112"/>
      <c r="J973" s="111"/>
    </row>
  </sheetData>
  <sheetProtection/>
  <mergeCells count="4">
    <mergeCell ref="A3:H3"/>
    <mergeCell ref="A6:H6"/>
    <mergeCell ref="A7:H7"/>
    <mergeCell ref="F4:H4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6" r:id="rId1"/>
  <headerFooter alignWithMargins="0">
    <oddFooter>&amp;CСтраница &amp;P</oddFooter>
  </headerFooter>
  <rowBreaks count="1" manualBreakCount="1">
    <brk id="3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9"/>
  <sheetViews>
    <sheetView showZeros="0" view="pageBreakPreview" zoomScaleSheetLayoutView="100" zoomScalePageLayoutView="0" workbookViewId="0" topLeftCell="A107">
      <selection activeCell="J124" sqref="J124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5"/>
      <c r="B1" s="175"/>
      <c r="C1" s="175"/>
      <c r="D1" s="175"/>
      <c r="E1" s="175"/>
      <c r="F1" s="175"/>
      <c r="G1" s="175"/>
      <c r="H1" s="175"/>
      <c r="I1" s="175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336</v>
      </c>
      <c r="I2" s="53"/>
      <c r="J2" s="53"/>
    </row>
    <row r="3" spans="1:10" s="1" customFormat="1" ht="24.75" customHeight="1">
      <c r="A3" s="169" t="s">
        <v>69</v>
      </c>
      <c r="B3" s="170"/>
      <c r="C3" s="170"/>
      <c r="D3" s="170"/>
      <c r="E3" s="170"/>
      <c r="F3" s="170"/>
      <c r="G3" s="170"/>
      <c r="H3" s="170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382</v>
      </c>
      <c r="H4" s="118" t="s">
        <v>383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71" t="s">
        <v>54</v>
      </c>
      <c r="B6" s="171"/>
      <c r="C6" s="171"/>
      <c r="D6" s="171"/>
      <c r="E6" s="171"/>
      <c r="F6" s="171"/>
      <c r="G6" s="171"/>
      <c r="H6" s="171"/>
      <c r="I6" s="171"/>
      <c r="J6" s="54"/>
    </row>
    <row r="7" spans="1:10" s="1" customFormat="1" ht="18" customHeight="1">
      <c r="A7" s="172" t="s">
        <v>337</v>
      </c>
      <c r="B7" s="172"/>
      <c r="C7" s="172"/>
      <c r="D7" s="172"/>
      <c r="E7" s="172"/>
      <c r="F7" s="172"/>
      <c r="G7" s="172"/>
      <c r="H7" s="172"/>
      <c r="I7" s="172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338</v>
      </c>
      <c r="I9" s="57" t="s">
        <v>339</v>
      </c>
      <c r="J9" s="57" t="s">
        <v>340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421.4</v>
      </c>
      <c r="I12" s="39">
        <f t="shared" si="0"/>
        <v>426.4</v>
      </c>
      <c r="J12" s="39">
        <f t="shared" si="0"/>
        <v>421.4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421.4</v>
      </c>
      <c r="I13" s="59">
        <f t="shared" si="0"/>
        <v>426.4</v>
      </c>
      <c r="J13" s="59">
        <f t="shared" si="0"/>
        <v>421.4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421.4</v>
      </c>
      <c r="I14" s="59">
        <f t="shared" si="2"/>
        <v>426.4</v>
      </c>
      <c r="J14" s="59">
        <f t="shared" si="2"/>
        <v>421.4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421.4</v>
      </c>
      <c r="I15" s="38">
        <f t="shared" si="2"/>
        <v>426.4</v>
      </c>
      <c r="J15" s="38">
        <f t="shared" si="2"/>
        <v>421.4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421.4</v>
      </c>
      <c r="I16" s="38">
        <f t="shared" si="2"/>
        <v>426.4</v>
      </c>
      <c r="J16" s="38">
        <f t="shared" si="2"/>
        <v>421.4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421.4</v>
      </c>
      <c r="I17" s="38">
        <f>I20+I19+I21+I18+I22</f>
        <v>426.4</v>
      </c>
      <c r="J17" s="38">
        <f>J20+J19+J21+J18+J22</f>
        <v>421.4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10</v>
      </c>
      <c r="I20" s="38">
        <v>15</v>
      </c>
      <c r="J20" s="38">
        <v>10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H25+H131+H146+H163+H168+H260+H288+H324+H330+H126</f>
        <v>263239.1</v>
      </c>
      <c r="I24" s="39">
        <f>I25+I131+I146+I163+I168+I260+I288+I324+I330+I126</f>
        <v>265001.4</v>
      </c>
      <c r="J24" s="39">
        <f>J25+J131+J146+J163+J168+J260+J288+J324+J330+J126</f>
        <v>263239.1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56093.399999999994</v>
      </c>
      <c r="I25" s="24">
        <f>I31+I72+I76+I61+I65+I26</f>
        <v>55437.799999999996</v>
      </c>
      <c r="J25" s="24">
        <f>J31+J72+J76+J61+J65+J26</f>
        <v>56093.399999999994</v>
      </c>
    </row>
    <row r="26" spans="1:10" s="5" customFormat="1" ht="28.5">
      <c r="A26" s="75" t="s">
        <v>272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1242.2</v>
      </c>
      <c r="I26" s="24">
        <f t="shared" si="3"/>
        <v>1242.2</v>
      </c>
      <c r="J26" s="24">
        <f t="shared" si="3"/>
        <v>1242.2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1242.2</v>
      </c>
      <c r="I27" s="27">
        <f t="shared" si="3"/>
        <v>1242.2</v>
      </c>
      <c r="J27" s="27">
        <f t="shared" si="3"/>
        <v>1242.2</v>
      </c>
    </row>
    <row r="28" spans="1:10" s="19" customFormat="1" ht="15">
      <c r="A28" s="162" t="s">
        <v>274</v>
      </c>
      <c r="B28" s="23" t="s">
        <v>57</v>
      </c>
      <c r="C28" s="23" t="s">
        <v>22</v>
      </c>
      <c r="D28" s="23" t="s">
        <v>27</v>
      </c>
      <c r="E28" s="14" t="s">
        <v>273</v>
      </c>
      <c r="F28" s="23"/>
      <c r="G28" s="68">
        <f t="shared" si="1"/>
        <v>0</v>
      </c>
      <c r="H28" s="27">
        <f>H29+H30</f>
        <v>1242.2</v>
      </c>
      <c r="I28" s="27">
        <f>I29+I30</f>
        <v>1242.2</v>
      </c>
      <c r="J28" s="27">
        <f>J29+J30</f>
        <v>1242.2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273</v>
      </c>
      <c r="F29" s="23" t="s">
        <v>89</v>
      </c>
      <c r="G29" s="68">
        <f t="shared" si="1"/>
        <v>0</v>
      </c>
      <c r="H29" s="27">
        <v>954.1</v>
      </c>
      <c r="I29" s="27">
        <v>954.1</v>
      </c>
      <c r="J29" s="27">
        <v>954.1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273</v>
      </c>
      <c r="F30" s="23" t="s">
        <v>131</v>
      </c>
      <c r="G30" s="68">
        <f t="shared" si="1"/>
        <v>0</v>
      </c>
      <c r="H30" s="27">
        <v>288.1</v>
      </c>
      <c r="I30" s="27">
        <v>288.1</v>
      </c>
      <c r="J30" s="27">
        <v>288.1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18775.199999999997</v>
      </c>
      <c r="I31" s="24">
        <f>I32</f>
        <v>18839.799999999996</v>
      </c>
      <c r="J31" s="24">
        <f>J32</f>
        <v>18775.199999999997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18775.199999999997</v>
      </c>
      <c r="I32" s="24">
        <f>I33+I41+I46+I51+I56</f>
        <v>18839.799999999996</v>
      </c>
      <c r="J32" s="24">
        <f>J33+J41+J46+J51+J56</f>
        <v>18775.199999999997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17189.2</v>
      </c>
      <c r="I33" s="27">
        <f>I34+I35+I36+I37+I38+I39+I40</f>
        <v>17253.8</v>
      </c>
      <c r="J33" s="27">
        <f>J34+J35+J36+J37+J38+J39+J40</f>
        <v>17189.2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12593.1</v>
      </c>
      <c r="I34" s="26">
        <v>12593.1</v>
      </c>
      <c r="J34" s="26">
        <v>12593.1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2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3803.1</v>
      </c>
      <c r="I36" s="26">
        <v>3803.1</v>
      </c>
      <c r="J36" s="26">
        <v>3803.1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750</v>
      </c>
      <c r="I37" s="26">
        <v>800</v>
      </c>
      <c r="J37" s="26">
        <v>750</v>
      </c>
    </row>
    <row r="38" spans="1:10" s="5" customFormat="1" ht="13.5" customHeight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>
        <v>25</v>
      </c>
      <c r="I38" s="26">
        <v>33.6</v>
      </c>
      <c r="J38" s="26">
        <v>25</v>
      </c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>
        <v>18</v>
      </c>
      <c r="I40" s="26">
        <v>24</v>
      </c>
      <c r="J40" s="26">
        <v>18</v>
      </c>
    </row>
    <row r="41" spans="1:11" s="5" customFormat="1" ht="32.25" customHeight="1">
      <c r="A41" s="52" t="s">
        <v>281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295.59999999999997</v>
      </c>
      <c r="I41" s="26">
        <f>I42+I43+I44+I45</f>
        <v>295.59999999999997</v>
      </c>
      <c r="J41" s="26">
        <f>J42+J43+J44+J45</f>
        <v>295.59999999999997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208.4</v>
      </c>
      <c r="I42" s="26">
        <v>208.4</v>
      </c>
      <c r="J42" s="26">
        <v>208.4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63</v>
      </c>
      <c r="I44" s="26">
        <v>63</v>
      </c>
      <c r="J44" s="26">
        <v>63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24.2</v>
      </c>
      <c r="I45" s="26">
        <v>24.2</v>
      </c>
      <c r="J45" s="26">
        <v>24.2</v>
      </c>
    </row>
    <row r="46" spans="1:10" s="5" customFormat="1" ht="34.5" customHeight="1">
      <c r="A46" s="44" t="s">
        <v>282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703.9999999999999</v>
      </c>
      <c r="I46" s="26">
        <f>I47+I48+I49+I50</f>
        <v>703.9999999999999</v>
      </c>
      <c r="J46" s="26">
        <f>J47+J48+J49+J50</f>
        <v>703.9999999999999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424.4</v>
      </c>
      <c r="I47" s="26">
        <v>424.4</v>
      </c>
      <c r="J47" s="26">
        <v>424.4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128.2</v>
      </c>
      <c r="I49" s="26">
        <v>128.2</v>
      </c>
      <c r="J49" s="26">
        <v>128.2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151.4</v>
      </c>
      <c r="I50" s="26">
        <v>151.4</v>
      </c>
      <c r="J50" s="109">
        <v>151.4</v>
      </c>
    </row>
    <row r="51" spans="1:10" s="5" customFormat="1" ht="45">
      <c r="A51" s="44" t="s">
        <v>283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316.1</v>
      </c>
      <c r="I51" s="26">
        <f>I52+I53+I54+I55</f>
        <v>316.1</v>
      </c>
      <c r="J51" s="26">
        <f>J52+J53+J54+J55</f>
        <v>316.1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224.6</v>
      </c>
      <c r="I52" s="26">
        <v>224.6</v>
      </c>
      <c r="J52" s="109">
        <v>224.6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67.9</v>
      </c>
      <c r="I54" s="26">
        <v>67.9</v>
      </c>
      <c r="J54" s="109">
        <v>67.9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23.6</v>
      </c>
      <c r="I55" s="26">
        <v>23.6</v>
      </c>
      <c r="J55" s="109">
        <v>23.6</v>
      </c>
    </row>
    <row r="56" spans="1:10" s="5" customFormat="1" ht="48.75" customHeight="1">
      <c r="A56" s="44" t="s">
        <v>284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270.3</v>
      </c>
      <c r="I56" s="26">
        <f>I57+I58+I59+I60</f>
        <v>270.3</v>
      </c>
      <c r="J56" s="26">
        <f>J57+J58+J59+J60</f>
        <v>270.3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270.3</v>
      </c>
      <c r="I60" s="26">
        <v>270.3</v>
      </c>
      <c r="J60" s="109">
        <v>270.3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285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3310.8999999999996</v>
      </c>
      <c r="I65" s="24">
        <f t="shared" si="6"/>
        <v>3330.8999999999996</v>
      </c>
      <c r="J65" s="24">
        <f t="shared" si="6"/>
        <v>3310.8999999999996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3310.8999999999996</v>
      </c>
      <c r="I66" s="27">
        <f t="shared" si="6"/>
        <v>3330.8999999999996</v>
      </c>
      <c r="J66" s="27">
        <f t="shared" si="6"/>
        <v>3310.8999999999996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3310.8999999999996</v>
      </c>
      <c r="I67" s="27">
        <f>I68+I70+I71</f>
        <v>3330.8999999999996</v>
      </c>
      <c r="J67" s="27">
        <f>J68+J70+J71</f>
        <v>3310.8999999999996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2404.7</v>
      </c>
      <c r="I68" s="27">
        <v>2404.7</v>
      </c>
      <c r="J68" s="27">
        <v>2404.7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726.2</v>
      </c>
      <c r="I70" s="27">
        <v>726.2</v>
      </c>
      <c r="J70" s="27">
        <v>726.2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180</v>
      </c>
      <c r="I71" s="27">
        <v>200</v>
      </c>
      <c r="J71" s="27">
        <v>180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247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248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32755.1</v>
      </c>
      <c r="I76" s="25">
        <f>I77+I80+I86+I89+I83+I114+I106+I98+I92+I95</f>
        <v>32014.9</v>
      </c>
      <c r="J76" s="25">
        <f>J77+J80+J86+J89+J83+J114+J106+J98+J92+J95</f>
        <v>32755.1</v>
      </c>
      <c r="K76" s="29"/>
      <c r="L76" s="29"/>
    </row>
    <row r="77" spans="1:10" s="5" customFormat="1" ht="42.75" hidden="1">
      <c r="A77" s="138" t="s">
        <v>356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26"/>
      <c r="I79" s="26"/>
      <c r="J79" s="26"/>
    </row>
    <row r="80" spans="1:10" s="5" customFormat="1" ht="46.5" customHeight="1" hidden="1">
      <c r="A80" s="157" t="s">
        <v>357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0</v>
      </c>
      <c r="I80" s="26">
        <f t="shared" si="10"/>
        <v>0</v>
      </c>
      <c r="J80" s="26">
        <f t="shared" si="10"/>
        <v>0</v>
      </c>
    </row>
    <row r="81" spans="1:10" s="5" customFormat="1" ht="15" hidden="1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0</v>
      </c>
      <c r="I81" s="26">
        <f t="shared" si="10"/>
        <v>0</v>
      </c>
      <c r="J81" s="26">
        <f t="shared" si="10"/>
        <v>0</v>
      </c>
    </row>
    <row r="82" spans="1:10" s="5" customFormat="1" ht="30" hidden="1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/>
      <c r="I82" s="26"/>
      <c r="J82" s="26"/>
    </row>
    <row r="83" spans="1:10" s="5" customFormat="1" ht="57">
      <c r="A83" s="75" t="s">
        <v>358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20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20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>
        <v>20</v>
      </c>
      <c r="J85" s="26">
        <v>15</v>
      </c>
    </row>
    <row r="86" spans="1:10" s="5" customFormat="1" ht="42.75" hidden="1">
      <c r="A86" s="75" t="s">
        <v>359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0</v>
      </c>
      <c r="I86" s="26">
        <f t="shared" si="12"/>
        <v>0</v>
      </c>
      <c r="J86" s="26">
        <f t="shared" si="12"/>
        <v>0</v>
      </c>
    </row>
    <row r="87" spans="1:10" s="5" customFormat="1" ht="15" hidden="1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0</v>
      </c>
      <c r="I87" s="26">
        <f t="shared" si="12"/>
        <v>0</v>
      </c>
      <c r="J87" s="26">
        <f t="shared" si="12"/>
        <v>0</v>
      </c>
    </row>
    <row r="88" spans="1:10" s="5" customFormat="1" ht="30" hidden="1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/>
      <c r="I88" s="26"/>
      <c r="J88" s="26"/>
    </row>
    <row r="89" spans="1:10" s="5" customFormat="1" ht="42.75" hidden="1">
      <c r="A89" s="114" t="s">
        <v>319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363</v>
      </c>
      <c r="B92" s="8" t="s">
        <v>57</v>
      </c>
      <c r="C92" s="8" t="s">
        <v>22</v>
      </c>
      <c r="D92" s="8" t="s">
        <v>36</v>
      </c>
      <c r="E92" s="8" t="s">
        <v>364</v>
      </c>
      <c r="F92" s="8"/>
      <c r="G92" s="68">
        <f t="shared" si="13"/>
        <v>0</v>
      </c>
      <c r="H92" s="26">
        <f aca="true" t="shared" si="15" ref="H92:J93">H93</f>
        <v>18</v>
      </c>
      <c r="I92" s="26">
        <f t="shared" si="15"/>
        <v>30</v>
      </c>
      <c r="J92" s="26">
        <f t="shared" si="15"/>
        <v>18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365</v>
      </c>
      <c r="F93" s="8"/>
      <c r="G93" s="68">
        <f t="shared" si="13"/>
        <v>0</v>
      </c>
      <c r="H93" s="26">
        <f t="shared" si="15"/>
        <v>18</v>
      </c>
      <c r="I93" s="26">
        <f t="shared" si="15"/>
        <v>30</v>
      </c>
      <c r="J93" s="26">
        <f t="shared" si="15"/>
        <v>18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365</v>
      </c>
      <c r="F94" s="8" t="s">
        <v>86</v>
      </c>
      <c r="G94" s="68">
        <f t="shared" si="13"/>
        <v>0</v>
      </c>
      <c r="H94" s="26">
        <v>18</v>
      </c>
      <c r="I94" s="26">
        <v>30</v>
      </c>
      <c r="J94" s="26">
        <v>18</v>
      </c>
    </row>
    <row r="95" spans="1:10" s="5" customFormat="1" ht="42.75">
      <c r="A95" s="81" t="s">
        <v>366</v>
      </c>
      <c r="B95" s="8" t="s">
        <v>57</v>
      </c>
      <c r="C95" s="8" t="s">
        <v>22</v>
      </c>
      <c r="D95" s="8" t="s">
        <v>36</v>
      </c>
      <c r="E95" s="8" t="s">
        <v>368</v>
      </c>
      <c r="F95" s="8"/>
      <c r="G95" s="68">
        <f t="shared" si="13"/>
        <v>0</v>
      </c>
      <c r="H95" s="26">
        <f aca="true" t="shared" si="16" ref="H95:J96">H96</f>
        <v>130</v>
      </c>
      <c r="I95" s="26">
        <f t="shared" si="16"/>
        <v>130</v>
      </c>
      <c r="J95" s="26">
        <f t="shared" si="16"/>
        <v>130</v>
      </c>
    </row>
    <row r="96" spans="1:10" s="5" customFormat="1" ht="30">
      <c r="A96" s="164" t="s">
        <v>367</v>
      </c>
      <c r="B96" s="8" t="s">
        <v>57</v>
      </c>
      <c r="C96" s="8" t="s">
        <v>22</v>
      </c>
      <c r="D96" s="8" t="s">
        <v>36</v>
      </c>
      <c r="E96" s="8" t="s">
        <v>369</v>
      </c>
      <c r="F96" s="8"/>
      <c r="G96" s="68">
        <f t="shared" si="13"/>
        <v>0</v>
      </c>
      <c r="H96" s="26">
        <f t="shared" si="16"/>
        <v>130</v>
      </c>
      <c r="I96" s="26">
        <f t="shared" si="16"/>
        <v>130</v>
      </c>
      <c r="J96" s="26">
        <f t="shared" si="16"/>
        <v>130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369</v>
      </c>
      <c r="F97" s="8" t="s">
        <v>86</v>
      </c>
      <c r="G97" s="68">
        <f t="shared" si="13"/>
        <v>0</v>
      </c>
      <c r="H97" s="26">
        <v>130</v>
      </c>
      <c r="I97" s="26">
        <v>130</v>
      </c>
      <c r="J97" s="26">
        <v>130</v>
      </c>
    </row>
    <row r="98" spans="1:10" s="19" customFormat="1" ht="47.25">
      <c r="A98" s="128" t="s">
        <v>332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6895.6</v>
      </c>
      <c r="I98" s="27">
        <f>I99</f>
        <v>6916.6</v>
      </c>
      <c r="J98" s="27">
        <f>J99</f>
        <v>6895.6</v>
      </c>
    </row>
    <row r="99" spans="1:10" s="19" customFormat="1" ht="30">
      <c r="A99" s="45" t="s">
        <v>238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6895.6</v>
      </c>
      <c r="I99" s="27">
        <f>I100+I103+I101+I104+I105+I102</f>
        <v>6916.6</v>
      </c>
      <c r="J99" s="27">
        <f>J100+J103+J101+J104+J105+J102</f>
        <v>6895.6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4809.6</v>
      </c>
      <c r="I100" s="27">
        <v>4809.6</v>
      </c>
      <c r="J100" s="27">
        <v>4809.6</v>
      </c>
    </row>
    <row r="101" spans="1:10" s="19" customFormat="1" ht="32.25" customHeight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>
        <v>3</v>
      </c>
      <c r="I101" s="27">
        <v>4</v>
      </c>
      <c r="J101" s="27">
        <v>3</v>
      </c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1452.5</v>
      </c>
      <c r="I102" s="27">
        <v>1452.5</v>
      </c>
      <c r="J102" s="27">
        <v>1452.5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630</v>
      </c>
      <c r="I103" s="27">
        <v>650</v>
      </c>
      <c r="J103" s="27">
        <v>630</v>
      </c>
    </row>
    <row r="104" spans="1:10" s="19" customFormat="1" ht="19.5" customHeight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>
        <v>0.5</v>
      </c>
      <c r="I104" s="27">
        <v>0.5</v>
      </c>
      <c r="J104" s="27">
        <v>0.5</v>
      </c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360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11726.9</v>
      </c>
      <c r="I106" s="26">
        <f>I107</f>
        <v>11836.9</v>
      </c>
      <c r="J106" s="26">
        <f>J107</f>
        <v>11726.9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11726.9</v>
      </c>
      <c r="I107" s="26">
        <f>I108+I109+I110+I111+I112+I113</f>
        <v>11836.9</v>
      </c>
      <c r="J107" s="26">
        <f>J108+J109+J110+J111+J112+J113</f>
        <v>11726.9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6011.4</v>
      </c>
      <c r="I108" s="26">
        <v>6011.4</v>
      </c>
      <c r="J108" s="26">
        <v>6011.4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1815.5</v>
      </c>
      <c r="I110" s="26">
        <v>1815.5</v>
      </c>
      <c r="J110" s="26">
        <v>1815.5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3800</v>
      </c>
      <c r="I111" s="26">
        <v>3900</v>
      </c>
      <c r="J111" s="26">
        <v>3800</v>
      </c>
    </row>
    <row r="112" spans="1:10" s="5" customFormat="1" ht="15" customHeight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>
        <v>100</v>
      </c>
      <c r="I112" s="26">
        <v>110</v>
      </c>
      <c r="J112" s="26">
        <v>100</v>
      </c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13969.6</v>
      </c>
      <c r="I114" s="26">
        <f>I115+I117+I124+I122</f>
        <v>13081.4</v>
      </c>
      <c r="J114" s="26">
        <f>J115+J117+J124+J122</f>
        <v>13969.6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5">H115-J115</f>
        <v>0</v>
      </c>
      <c r="H115" s="26">
        <f>H116</f>
        <v>70</v>
      </c>
      <c r="I115" s="26">
        <f>I116</f>
        <v>0</v>
      </c>
      <c r="J115" s="26">
        <f>J116</f>
        <v>70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70</v>
      </c>
      <c r="I116" s="26"/>
      <c r="J116" s="26">
        <v>70</v>
      </c>
    </row>
    <row r="117" spans="1:10" s="5" customFormat="1" ht="81.75" customHeight="1">
      <c r="A117" s="127" t="s">
        <v>286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1861.6000000000001</v>
      </c>
      <c r="I117" s="26">
        <f>I118+I121+I119+I120</f>
        <v>1043.4</v>
      </c>
      <c r="J117" s="26">
        <f>J118+J121+J119+J120</f>
        <v>1861.6000000000001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1262.7</v>
      </c>
      <c r="I118" s="26">
        <v>657.7</v>
      </c>
      <c r="J118" s="26">
        <v>1262.7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382.7</v>
      </c>
      <c r="I120" s="26">
        <v>198.6</v>
      </c>
      <c r="J120" s="26">
        <v>382.7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216.2</v>
      </c>
      <c r="I121" s="26">
        <v>187.1</v>
      </c>
      <c r="J121" s="26">
        <v>216.2</v>
      </c>
    </row>
    <row r="122" spans="1:10" s="5" customFormat="1" ht="31.5" customHeight="1" hidden="1">
      <c r="A122" s="45" t="s">
        <v>361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287</v>
      </c>
      <c r="B124" s="8" t="s">
        <v>57</v>
      </c>
      <c r="C124" s="8" t="s">
        <v>22</v>
      </c>
      <c r="D124" s="8" t="s">
        <v>36</v>
      </c>
      <c r="E124" s="8" t="s">
        <v>345</v>
      </c>
      <c r="F124" s="8"/>
      <c r="G124" s="68">
        <f t="shared" si="18"/>
        <v>0</v>
      </c>
      <c r="H124" s="26">
        <f>H125</f>
        <v>12038</v>
      </c>
      <c r="I124" s="26">
        <f>I125</f>
        <v>12038</v>
      </c>
      <c r="J124" s="26">
        <f>J125</f>
        <v>12038</v>
      </c>
    </row>
    <row r="125" spans="1:10" s="5" customFormat="1" ht="15">
      <c r="A125" s="45" t="s">
        <v>16</v>
      </c>
      <c r="B125" s="8" t="s">
        <v>57</v>
      </c>
      <c r="C125" s="8" t="s">
        <v>22</v>
      </c>
      <c r="D125" s="8" t="s">
        <v>36</v>
      </c>
      <c r="E125" s="8" t="s">
        <v>345</v>
      </c>
      <c r="F125" s="8" t="s">
        <v>96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9" customFormat="1" ht="28.5">
      <c r="A126" s="124" t="s">
        <v>38</v>
      </c>
      <c r="B126" s="7" t="s">
        <v>57</v>
      </c>
      <c r="C126" s="7" t="s">
        <v>23</v>
      </c>
      <c r="D126" s="7"/>
      <c r="E126" s="7"/>
      <c r="F126" s="7"/>
      <c r="G126" s="68">
        <f aca="true" t="shared" si="19" ref="G126:G145">H126-J126</f>
        <v>0</v>
      </c>
      <c r="H126" s="25">
        <f aca="true" t="shared" si="20" ref="H126:I129">H127</f>
        <v>30</v>
      </c>
      <c r="I126" s="25">
        <f t="shared" si="20"/>
        <v>30</v>
      </c>
      <c r="J126" s="25">
        <f>J129</f>
        <v>30</v>
      </c>
    </row>
    <row r="127" spans="1:10" s="9" customFormat="1" ht="43.5" customHeight="1">
      <c r="A127" s="36" t="s">
        <v>14</v>
      </c>
      <c r="B127" s="7" t="s">
        <v>57</v>
      </c>
      <c r="C127" s="7" t="s">
        <v>23</v>
      </c>
      <c r="D127" s="7" t="s">
        <v>30</v>
      </c>
      <c r="E127" s="7"/>
      <c r="F127" s="7"/>
      <c r="G127" s="68">
        <f t="shared" si="19"/>
        <v>0</v>
      </c>
      <c r="H127" s="25">
        <f t="shared" si="20"/>
        <v>30</v>
      </c>
      <c r="I127" s="25">
        <f t="shared" si="20"/>
        <v>30</v>
      </c>
      <c r="J127" s="25">
        <f>J128</f>
        <v>30</v>
      </c>
    </row>
    <row r="128" spans="1:10" s="9" customFormat="1" ht="15">
      <c r="A128" s="72" t="s">
        <v>92</v>
      </c>
      <c r="B128" s="18" t="s">
        <v>57</v>
      </c>
      <c r="C128" s="8" t="s">
        <v>23</v>
      </c>
      <c r="D128" s="8" t="s">
        <v>30</v>
      </c>
      <c r="E128" s="8" t="s">
        <v>140</v>
      </c>
      <c r="F128" s="8"/>
      <c r="G128" s="68">
        <f t="shared" si="19"/>
        <v>0</v>
      </c>
      <c r="H128" s="26">
        <f t="shared" si="20"/>
        <v>30</v>
      </c>
      <c r="I128" s="27">
        <f t="shared" si="20"/>
        <v>30</v>
      </c>
      <c r="J128" s="26">
        <f>J130</f>
        <v>30</v>
      </c>
    </row>
    <row r="129" spans="1:10" s="9" customFormat="1" ht="45" customHeight="1">
      <c r="A129" s="49" t="s">
        <v>62</v>
      </c>
      <c r="B129" s="18" t="s">
        <v>57</v>
      </c>
      <c r="C129" s="8" t="s">
        <v>23</v>
      </c>
      <c r="D129" s="8" t="s">
        <v>30</v>
      </c>
      <c r="E129" s="8" t="s">
        <v>158</v>
      </c>
      <c r="F129" s="8"/>
      <c r="G129" s="68">
        <f t="shared" si="19"/>
        <v>0</v>
      </c>
      <c r="H129" s="26">
        <f t="shared" si="20"/>
        <v>30</v>
      </c>
      <c r="I129" s="26">
        <f t="shared" si="20"/>
        <v>30</v>
      </c>
      <c r="J129" s="26">
        <f>J130</f>
        <v>30</v>
      </c>
    </row>
    <row r="130" spans="1:10" s="9" customFormat="1" ht="30">
      <c r="A130" s="45" t="s">
        <v>87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 t="s">
        <v>86</v>
      </c>
      <c r="G130" s="68">
        <f t="shared" si="19"/>
        <v>0</v>
      </c>
      <c r="H130" s="26">
        <v>30</v>
      </c>
      <c r="I130" s="26">
        <v>30</v>
      </c>
      <c r="J130" s="26">
        <v>30</v>
      </c>
    </row>
    <row r="131" spans="1:10" s="9" customFormat="1" ht="14.25">
      <c r="A131" s="124" t="s">
        <v>39</v>
      </c>
      <c r="B131" s="7" t="s">
        <v>57</v>
      </c>
      <c r="C131" s="7" t="s">
        <v>24</v>
      </c>
      <c r="D131" s="7"/>
      <c r="E131" s="7"/>
      <c r="F131" s="7"/>
      <c r="G131" s="68">
        <f t="shared" si="19"/>
        <v>0</v>
      </c>
      <c r="H131" s="25">
        <f>H142+H138+H132</f>
        <v>864.2</v>
      </c>
      <c r="I131" s="25">
        <f>I142+I138+I132</f>
        <v>1214.4</v>
      </c>
      <c r="J131" s="25">
        <f>J142+J138+J132</f>
        <v>864.2</v>
      </c>
    </row>
    <row r="132" spans="1:11" s="9" customFormat="1" ht="14.25" hidden="1">
      <c r="A132" s="50" t="s">
        <v>112</v>
      </c>
      <c r="B132" s="7" t="s">
        <v>57</v>
      </c>
      <c r="C132" s="7" t="s">
        <v>24</v>
      </c>
      <c r="D132" s="7" t="s">
        <v>43</v>
      </c>
      <c r="E132" s="7"/>
      <c r="F132" s="7"/>
      <c r="G132" s="68">
        <f t="shared" si="19"/>
        <v>0</v>
      </c>
      <c r="H132" s="25">
        <f>H133</f>
        <v>0</v>
      </c>
      <c r="I132" s="25">
        <f>I133</f>
        <v>0</v>
      </c>
      <c r="J132" s="25">
        <f>J133</f>
        <v>0</v>
      </c>
      <c r="K132" s="29"/>
    </row>
    <row r="133" spans="1:10" s="9" customFormat="1" ht="15" hidden="1">
      <c r="A133" s="72" t="s">
        <v>92</v>
      </c>
      <c r="B133" s="18" t="s">
        <v>57</v>
      </c>
      <c r="C133" s="18" t="s">
        <v>24</v>
      </c>
      <c r="D133" s="18" t="s">
        <v>43</v>
      </c>
      <c r="E133" s="18" t="s">
        <v>140</v>
      </c>
      <c r="F133" s="18"/>
      <c r="G133" s="68">
        <f t="shared" si="19"/>
        <v>0</v>
      </c>
      <c r="H133" s="27">
        <f>H134+H136</f>
        <v>0</v>
      </c>
      <c r="I133" s="27">
        <f>I134+I136</f>
        <v>0</v>
      </c>
      <c r="J133" s="27">
        <f>J134+J136</f>
        <v>0</v>
      </c>
    </row>
    <row r="134" spans="1:10" s="9" customFormat="1" ht="60" hidden="1">
      <c r="A134" s="49" t="s">
        <v>348</v>
      </c>
      <c r="B134" s="18" t="s">
        <v>57</v>
      </c>
      <c r="C134" s="18" t="s">
        <v>24</v>
      </c>
      <c r="D134" s="18" t="s">
        <v>43</v>
      </c>
      <c r="E134" s="18" t="s">
        <v>160</v>
      </c>
      <c r="F134" s="18"/>
      <c r="G134" s="68">
        <f t="shared" si="19"/>
        <v>0</v>
      </c>
      <c r="H134" s="27">
        <f>H135</f>
        <v>0</v>
      </c>
      <c r="I134" s="27">
        <f>I135</f>
        <v>0</v>
      </c>
      <c r="J134" s="27">
        <f>J135</f>
        <v>0</v>
      </c>
    </row>
    <row r="135" spans="1:10" s="9" customFormat="1" ht="30" hidden="1">
      <c r="A135" s="45" t="s">
        <v>87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 t="s">
        <v>86</v>
      </c>
      <c r="G135" s="68">
        <f t="shared" si="19"/>
        <v>0</v>
      </c>
      <c r="H135" s="27"/>
      <c r="I135" s="95"/>
      <c r="J135" s="27"/>
    </row>
    <row r="136" spans="1:10" s="9" customFormat="1" ht="60" hidden="1">
      <c r="A136" s="49" t="s">
        <v>113</v>
      </c>
      <c r="B136" s="18" t="s">
        <v>57</v>
      </c>
      <c r="C136" s="18" t="s">
        <v>24</v>
      </c>
      <c r="D136" s="18" t="s">
        <v>43</v>
      </c>
      <c r="E136" s="18" t="s">
        <v>161</v>
      </c>
      <c r="F136" s="18"/>
      <c r="G136" s="68">
        <f t="shared" si="19"/>
        <v>0</v>
      </c>
      <c r="H136" s="27">
        <f>H137</f>
        <v>0</v>
      </c>
      <c r="I136" s="27">
        <f>I137</f>
        <v>0</v>
      </c>
      <c r="J136" s="27">
        <f>J137</f>
        <v>0</v>
      </c>
    </row>
    <row r="137" spans="1:10" s="9" customFormat="1" ht="30" hidden="1">
      <c r="A137" s="45" t="s">
        <v>87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 t="s">
        <v>86</v>
      </c>
      <c r="G137" s="68">
        <f t="shared" si="19"/>
        <v>0</v>
      </c>
      <c r="H137" s="27"/>
      <c r="I137" s="95"/>
      <c r="J137" s="27"/>
    </row>
    <row r="138" spans="1:10" s="9" customFormat="1" ht="14.25">
      <c r="A138" s="50" t="s">
        <v>61</v>
      </c>
      <c r="B138" s="7" t="s">
        <v>57</v>
      </c>
      <c r="C138" s="7" t="s">
        <v>24</v>
      </c>
      <c r="D138" s="7" t="s">
        <v>30</v>
      </c>
      <c r="E138" s="7"/>
      <c r="F138" s="7"/>
      <c r="G138" s="68">
        <f t="shared" si="19"/>
        <v>0</v>
      </c>
      <c r="H138" s="25">
        <f>H139</f>
        <v>794.2</v>
      </c>
      <c r="I138" s="25">
        <f>I139</f>
        <v>1144.4</v>
      </c>
      <c r="J138" s="25">
        <f>J139</f>
        <v>794.2</v>
      </c>
    </row>
    <row r="139" spans="1:10" s="5" customFormat="1" ht="42.75">
      <c r="A139" s="116" t="s">
        <v>327</v>
      </c>
      <c r="B139" s="18" t="s">
        <v>57</v>
      </c>
      <c r="C139" s="18" t="s">
        <v>24</v>
      </c>
      <c r="D139" s="23" t="s">
        <v>30</v>
      </c>
      <c r="E139" s="14" t="s">
        <v>162</v>
      </c>
      <c r="F139" s="14"/>
      <c r="G139" s="68">
        <f t="shared" si="19"/>
        <v>0</v>
      </c>
      <c r="H139" s="26">
        <f aca="true" t="shared" si="21" ref="H139:J140">H140</f>
        <v>794.2</v>
      </c>
      <c r="I139" s="26">
        <f t="shared" si="21"/>
        <v>1144.4</v>
      </c>
      <c r="J139" s="26">
        <f t="shared" si="21"/>
        <v>794.2</v>
      </c>
    </row>
    <row r="140" spans="1:10" s="5" customFormat="1" ht="30">
      <c r="A140" s="52" t="s">
        <v>117</v>
      </c>
      <c r="B140" s="18" t="s">
        <v>57</v>
      </c>
      <c r="C140" s="18" t="s">
        <v>24</v>
      </c>
      <c r="D140" s="23" t="s">
        <v>30</v>
      </c>
      <c r="E140" s="14" t="s">
        <v>163</v>
      </c>
      <c r="F140" s="14"/>
      <c r="G140" s="68">
        <f t="shared" si="19"/>
        <v>0</v>
      </c>
      <c r="H140" s="26">
        <f t="shared" si="21"/>
        <v>794.2</v>
      </c>
      <c r="I140" s="26">
        <f t="shared" si="21"/>
        <v>1144.4</v>
      </c>
      <c r="J140" s="26">
        <f t="shared" si="21"/>
        <v>794.2</v>
      </c>
    </row>
    <row r="141" spans="1:10" s="5" customFormat="1" ht="30">
      <c r="A141" s="45" t="s">
        <v>87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 t="s">
        <v>86</v>
      </c>
      <c r="G141" s="68">
        <f t="shared" si="19"/>
        <v>0</v>
      </c>
      <c r="H141" s="26">
        <v>794.2</v>
      </c>
      <c r="I141" s="26">
        <v>1144.4</v>
      </c>
      <c r="J141" s="27">
        <v>794.2</v>
      </c>
    </row>
    <row r="142" spans="1:10" s="9" customFormat="1" ht="14.25">
      <c r="A142" s="124" t="s">
        <v>41</v>
      </c>
      <c r="B142" s="7" t="s">
        <v>57</v>
      </c>
      <c r="C142" s="7" t="s">
        <v>24</v>
      </c>
      <c r="D142" s="7" t="s">
        <v>51</v>
      </c>
      <c r="E142" s="7"/>
      <c r="F142" s="7"/>
      <c r="G142" s="68">
        <f t="shared" si="19"/>
        <v>0</v>
      </c>
      <c r="H142" s="25">
        <f aca="true" t="shared" si="22" ref="H142:J144">H143</f>
        <v>70</v>
      </c>
      <c r="I142" s="25">
        <f t="shared" si="22"/>
        <v>70</v>
      </c>
      <c r="J142" s="25">
        <f t="shared" si="22"/>
        <v>70</v>
      </c>
    </row>
    <row r="143" spans="1:10" s="9" customFormat="1" ht="15">
      <c r="A143" s="72" t="s">
        <v>92</v>
      </c>
      <c r="B143" s="8" t="s">
        <v>57</v>
      </c>
      <c r="C143" s="8" t="s">
        <v>24</v>
      </c>
      <c r="D143" s="8" t="s">
        <v>51</v>
      </c>
      <c r="E143" s="8" t="s">
        <v>140</v>
      </c>
      <c r="F143" s="8"/>
      <c r="G143" s="68">
        <f t="shared" si="19"/>
        <v>0</v>
      </c>
      <c r="H143" s="26">
        <f t="shared" si="22"/>
        <v>70</v>
      </c>
      <c r="I143" s="27">
        <f t="shared" si="22"/>
        <v>70</v>
      </c>
      <c r="J143" s="26">
        <f t="shared" si="22"/>
        <v>70</v>
      </c>
    </row>
    <row r="144" spans="1:10" s="9" customFormat="1" ht="15">
      <c r="A144" s="49" t="s">
        <v>42</v>
      </c>
      <c r="B144" s="8" t="s">
        <v>57</v>
      </c>
      <c r="C144" s="8" t="s">
        <v>24</v>
      </c>
      <c r="D144" s="8" t="s">
        <v>51</v>
      </c>
      <c r="E144" s="8" t="s">
        <v>164</v>
      </c>
      <c r="F144" s="8"/>
      <c r="G144" s="68">
        <f t="shared" si="19"/>
        <v>0</v>
      </c>
      <c r="H144" s="26">
        <f t="shared" si="22"/>
        <v>70</v>
      </c>
      <c r="I144" s="26">
        <f t="shared" si="22"/>
        <v>70</v>
      </c>
      <c r="J144" s="26">
        <f t="shared" si="22"/>
        <v>70</v>
      </c>
    </row>
    <row r="145" spans="1:10" s="9" customFormat="1" ht="28.5" customHeight="1">
      <c r="A145" s="45" t="s">
        <v>87</v>
      </c>
      <c r="B145" s="8" t="s">
        <v>57</v>
      </c>
      <c r="C145" s="8" t="s">
        <v>24</v>
      </c>
      <c r="D145" s="8" t="s">
        <v>51</v>
      </c>
      <c r="E145" s="8" t="s">
        <v>164</v>
      </c>
      <c r="F145" s="8" t="s">
        <v>86</v>
      </c>
      <c r="G145" s="68">
        <f t="shared" si="19"/>
        <v>0</v>
      </c>
      <c r="H145" s="26">
        <v>70</v>
      </c>
      <c r="I145" s="26">
        <v>70</v>
      </c>
      <c r="J145" s="26">
        <v>70</v>
      </c>
    </row>
    <row r="146" spans="1:10" s="5" customFormat="1" ht="15">
      <c r="A146" s="124" t="s">
        <v>44</v>
      </c>
      <c r="B146" s="7" t="s">
        <v>57</v>
      </c>
      <c r="C146" s="7" t="s">
        <v>43</v>
      </c>
      <c r="D146" s="8"/>
      <c r="E146" s="8"/>
      <c r="F146" s="8"/>
      <c r="G146" s="68">
        <f aca="true" t="shared" si="23" ref="G146:G151">H146-J146</f>
        <v>0</v>
      </c>
      <c r="H146" s="24">
        <f>H151+H147</f>
        <v>17488.7</v>
      </c>
      <c r="I146" s="24">
        <f>I151+I147</f>
        <v>17696.600000000002</v>
      </c>
      <c r="J146" s="24">
        <f>J151+J147</f>
        <v>17488.7</v>
      </c>
    </row>
    <row r="147" spans="1:10" s="5" customFormat="1" ht="15.75">
      <c r="A147" s="152" t="s">
        <v>226</v>
      </c>
      <c r="B147" s="20" t="s">
        <v>57</v>
      </c>
      <c r="C147" s="20" t="s">
        <v>43</v>
      </c>
      <c r="D147" s="20" t="s">
        <v>22</v>
      </c>
      <c r="E147" s="20"/>
      <c r="F147" s="20"/>
      <c r="G147" s="68">
        <f t="shared" si="23"/>
        <v>0</v>
      </c>
      <c r="H147" s="24">
        <f aca="true" t="shared" si="24" ref="H147:J149">H148</f>
        <v>13</v>
      </c>
      <c r="I147" s="24">
        <f t="shared" si="24"/>
        <v>16</v>
      </c>
      <c r="J147" s="24">
        <f t="shared" si="24"/>
        <v>13</v>
      </c>
    </row>
    <row r="148" spans="1:10" s="5" customFormat="1" ht="15">
      <c r="A148" s="80" t="s">
        <v>92</v>
      </c>
      <c r="B148" s="18" t="s">
        <v>57</v>
      </c>
      <c r="C148" s="18" t="s">
        <v>43</v>
      </c>
      <c r="D148" s="8" t="s">
        <v>22</v>
      </c>
      <c r="E148" s="8" t="s">
        <v>140</v>
      </c>
      <c r="F148" s="8"/>
      <c r="G148" s="68">
        <f t="shared" si="23"/>
        <v>0</v>
      </c>
      <c r="H148" s="27">
        <f t="shared" si="24"/>
        <v>13</v>
      </c>
      <c r="I148" s="27">
        <f t="shared" si="24"/>
        <v>16</v>
      </c>
      <c r="J148" s="27">
        <f t="shared" si="24"/>
        <v>13</v>
      </c>
    </row>
    <row r="149" spans="1:10" s="5" customFormat="1" ht="15">
      <c r="A149" s="45" t="s">
        <v>229</v>
      </c>
      <c r="B149" s="18" t="s">
        <v>57</v>
      </c>
      <c r="C149" s="18" t="s">
        <v>43</v>
      </c>
      <c r="D149" s="8" t="s">
        <v>22</v>
      </c>
      <c r="E149" s="8" t="s">
        <v>227</v>
      </c>
      <c r="F149" s="8"/>
      <c r="G149" s="68">
        <f t="shared" si="23"/>
        <v>0</v>
      </c>
      <c r="H149" s="27">
        <f t="shared" si="24"/>
        <v>13</v>
      </c>
      <c r="I149" s="27">
        <f t="shared" si="24"/>
        <v>16</v>
      </c>
      <c r="J149" s="27">
        <f t="shared" si="24"/>
        <v>13</v>
      </c>
    </row>
    <row r="150" spans="1:10" s="5" customFormat="1" ht="30">
      <c r="A150" s="45" t="s">
        <v>380</v>
      </c>
      <c r="B150" s="18" t="s">
        <v>57</v>
      </c>
      <c r="C150" s="18" t="s">
        <v>43</v>
      </c>
      <c r="D150" s="8" t="s">
        <v>22</v>
      </c>
      <c r="E150" s="8" t="s">
        <v>227</v>
      </c>
      <c r="F150" s="8" t="s">
        <v>381</v>
      </c>
      <c r="G150" s="68">
        <f t="shared" si="23"/>
        <v>0</v>
      </c>
      <c r="H150" s="27">
        <v>13</v>
      </c>
      <c r="I150" s="27">
        <v>16</v>
      </c>
      <c r="J150" s="27">
        <v>13</v>
      </c>
    </row>
    <row r="151" spans="1:11" s="9" customFormat="1" ht="14.25">
      <c r="A151" s="124" t="s">
        <v>59</v>
      </c>
      <c r="B151" s="7" t="s">
        <v>57</v>
      </c>
      <c r="C151" s="7" t="s">
        <v>43</v>
      </c>
      <c r="D151" s="7" t="s">
        <v>27</v>
      </c>
      <c r="E151" s="7"/>
      <c r="F151" s="7"/>
      <c r="G151" s="68">
        <f t="shared" si="23"/>
        <v>0</v>
      </c>
      <c r="H151" s="25">
        <f>H160+H152</f>
        <v>17475.7</v>
      </c>
      <c r="I151" s="25">
        <f>I160+I152</f>
        <v>17680.600000000002</v>
      </c>
      <c r="J151" s="25">
        <f>J160+J152</f>
        <v>17475.7</v>
      </c>
      <c r="K151" s="29"/>
    </row>
    <row r="152" spans="1:10" s="5" customFormat="1" ht="57">
      <c r="A152" s="114" t="s">
        <v>360</v>
      </c>
      <c r="B152" s="8" t="s">
        <v>57</v>
      </c>
      <c r="C152" s="8" t="s">
        <v>43</v>
      </c>
      <c r="D152" s="8" t="s">
        <v>27</v>
      </c>
      <c r="E152" s="8" t="s">
        <v>154</v>
      </c>
      <c r="F152" s="8"/>
      <c r="G152" s="68">
        <f aca="true" t="shared" si="25" ref="G152:G159">H152-J152</f>
        <v>0</v>
      </c>
      <c r="H152" s="26">
        <f>H153</f>
        <v>17475.7</v>
      </c>
      <c r="I152" s="27">
        <f>I161+I153</f>
        <v>17680.600000000002</v>
      </c>
      <c r="J152" s="26">
        <f>J153</f>
        <v>17475.7</v>
      </c>
    </row>
    <row r="153" spans="1:10" s="5" customFormat="1" ht="30" customHeight="1">
      <c r="A153" s="37" t="s">
        <v>235</v>
      </c>
      <c r="B153" s="8" t="s">
        <v>57</v>
      </c>
      <c r="C153" s="8" t="s">
        <v>43</v>
      </c>
      <c r="D153" s="8" t="s">
        <v>27</v>
      </c>
      <c r="E153" s="8" t="s">
        <v>211</v>
      </c>
      <c r="F153" s="8"/>
      <c r="G153" s="68">
        <f t="shared" si="25"/>
        <v>0</v>
      </c>
      <c r="H153" s="26">
        <f>H154+H155+H156+H157+H158+H159</f>
        <v>17475.7</v>
      </c>
      <c r="I153" s="26">
        <f>I154+I155+I156+I157+I158+I159</f>
        <v>17680.600000000002</v>
      </c>
      <c r="J153" s="26">
        <f>J154+J155+J156+J157+J158+J159</f>
        <v>17475.7</v>
      </c>
    </row>
    <row r="154" spans="1:10" s="5" customFormat="1" ht="15">
      <c r="A154" s="37" t="s">
        <v>208</v>
      </c>
      <c r="B154" s="8" t="s">
        <v>57</v>
      </c>
      <c r="C154" s="8" t="s">
        <v>43</v>
      </c>
      <c r="D154" s="8" t="s">
        <v>27</v>
      </c>
      <c r="E154" s="8" t="s">
        <v>211</v>
      </c>
      <c r="F154" s="8" t="s">
        <v>93</v>
      </c>
      <c r="G154" s="68">
        <f t="shared" si="25"/>
        <v>0</v>
      </c>
      <c r="H154" s="26">
        <v>6740.2</v>
      </c>
      <c r="I154" s="26">
        <v>6740.2</v>
      </c>
      <c r="J154" s="26">
        <v>6740.2</v>
      </c>
    </row>
    <row r="155" spans="1:10" s="5" customFormat="1" ht="30" hidden="1">
      <c r="A155" s="37" t="s">
        <v>104</v>
      </c>
      <c r="B155" s="8" t="s">
        <v>57</v>
      </c>
      <c r="C155" s="8" t="s">
        <v>43</v>
      </c>
      <c r="D155" s="8" t="s">
        <v>27</v>
      </c>
      <c r="E155" s="8" t="s">
        <v>211</v>
      </c>
      <c r="F155" s="8" t="s">
        <v>103</v>
      </c>
      <c r="G155" s="68">
        <f t="shared" si="25"/>
        <v>0</v>
      </c>
      <c r="H155" s="26"/>
      <c r="I155" s="26"/>
      <c r="J155" s="26"/>
    </row>
    <row r="156" spans="1:10" s="5" customFormat="1" ht="45" customHeight="1">
      <c r="A156" s="37" t="s">
        <v>209</v>
      </c>
      <c r="B156" s="8" t="s">
        <v>57</v>
      </c>
      <c r="C156" s="8" t="s">
        <v>43</v>
      </c>
      <c r="D156" s="8" t="s">
        <v>27</v>
      </c>
      <c r="E156" s="8" t="s">
        <v>211</v>
      </c>
      <c r="F156" s="8" t="s">
        <v>133</v>
      </c>
      <c r="G156" s="68">
        <f t="shared" si="25"/>
        <v>0</v>
      </c>
      <c r="H156" s="26">
        <v>2035.5</v>
      </c>
      <c r="I156" s="26">
        <v>2035.5</v>
      </c>
      <c r="J156" s="26">
        <v>2035.5</v>
      </c>
    </row>
    <row r="157" spans="1:10" s="5" customFormat="1" ht="30">
      <c r="A157" s="37" t="s">
        <v>87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 t="s">
        <v>86</v>
      </c>
      <c r="G157" s="68">
        <f t="shared" si="25"/>
        <v>0</v>
      </c>
      <c r="H157" s="26">
        <v>8200</v>
      </c>
      <c r="I157" s="26">
        <v>8400</v>
      </c>
      <c r="J157" s="26">
        <v>8200</v>
      </c>
    </row>
    <row r="158" spans="1:10" s="5" customFormat="1" ht="14.25" customHeight="1">
      <c r="A158" s="66" t="s">
        <v>108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106</v>
      </c>
      <c r="G158" s="68">
        <f t="shared" si="25"/>
        <v>0</v>
      </c>
      <c r="H158" s="26">
        <v>50</v>
      </c>
      <c r="I158" s="26">
        <v>54.9</v>
      </c>
      <c r="J158" s="26">
        <v>50</v>
      </c>
    </row>
    <row r="159" spans="1:10" s="5" customFormat="1" ht="17.25" customHeight="1">
      <c r="A159" s="73" t="s">
        <v>109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107</v>
      </c>
      <c r="G159" s="68">
        <f t="shared" si="25"/>
        <v>0</v>
      </c>
      <c r="H159" s="26">
        <v>450</v>
      </c>
      <c r="I159" s="26">
        <v>450</v>
      </c>
      <c r="J159" s="26">
        <v>450</v>
      </c>
    </row>
    <row r="160" spans="1:11" s="9" customFormat="1" ht="15" hidden="1">
      <c r="A160" s="72" t="s">
        <v>92</v>
      </c>
      <c r="B160" s="8" t="s">
        <v>57</v>
      </c>
      <c r="C160" s="8" t="s">
        <v>43</v>
      </c>
      <c r="D160" s="8" t="s">
        <v>27</v>
      </c>
      <c r="E160" s="8" t="s">
        <v>140</v>
      </c>
      <c r="F160" s="8"/>
      <c r="G160" s="68">
        <f aca="true" t="shared" si="26" ref="G160:G177">H160-J160</f>
        <v>0</v>
      </c>
      <c r="H160" s="25">
        <f aca="true" t="shared" si="27" ref="H160:J162">H161</f>
        <v>0</v>
      </c>
      <c r="I160" s="25">
        <f t="shared" si="27"/>
        <v>0</v>
      </c>
      <c r="J160" s="25">
        <f t="shared" si="27"/>
        <v>0</v>
      </c>
      <c r="K160" s="29"/>
    </row>
    <row r="161" spans="1:10" s="5" customFormat="1" ht="63" customHeight="1" hidden="1">
      <c r="A161" s="80" t="s">
        <v>77</v>
      </c>
      <c r="B161" s="8" t="s">
        <v>57</v>
      </c>
      <c r="C161" s="8" t="s">
        <v>43</v>
      </c>
      <c r="D161" s="8" t="s">
        <v>27</v>
      </c>
      <c r="E161" s="8" t="s">
        <v>166</v>
      </c>
      <c r="F161" s="8"/>
      <c r="G161" s="68">
        <f t="shared" si="26"/>
        <v>0</v>
      </c>
      <c r="H161" s="27">
        <f t="shared" si="27"/>
        <v>0</v>
      </c>
      <c r="I161" s="25">
        <f t="shared" si="27"/>
        <v>0</v>
      </c>
      <c r="J161" s="27">
        <f t="shared" si="27"/>
        <v>0</v>
      </c>
    </row>
    <row r="162" spans="1:10" s="5" customFormat="1" ht="60" hidden="1">
      <c r="A162" s="45" t="s">
        <v>265</v>
      </c>
      <c r="B162" s="8" t="s">
        <v>57</v>
      </c>
      <c r="C162" s="8" t="s">
        <v>43</v>
      </c>
      <c r="D162" s="8" t="s">
        <v>27</v>
      </c>
      <c r="E162" s="8" t="s">
        <v>166</v>
      </c>
      <c r="F162" s="8" t="s">
        <v>264</v>
      </c>
      <c r="G162" s="68">
        <f t="shared" si="26"/>
        <v>0</v>
      </c>
      <c r="H162" s="27"/>
      <c r="I162" s="27">
        <f t="shared" si="27"/>
        <v>0</v>
      </c>
      <c r="J162" s="27"/>
    </row>
    <row r="163" spans="1:10" s="9" customFormat="1" ht="14.25" hidden="1">
      <c r="A163" s="124" t="s">
        <v>45</v>
      </c>
      <c r="B163" s="7" t="s">
        <v>57</v>
      </c>
      <c r="C163" s="7" t="s">
        <v>35</v>
      </c>
      <c r="D163" s="7"/>
      <c r="E163" s="7"/>
      <c r="F163" s="7"/>
      <c r="G163" s="68">
        <f t="shared" si="26"/>
        <v>0</v>
      </c>
      <c r="H163" s="25">
        <f aca="true" t="shared" si="28" ref="H163:J164">H164</f>
        <v>0</v>
      </c>
      <c r="I163" s="25">
        <f t="shared" si="28"/>
        <v>0</v>
      </c>
      <c r="J163" s="25">
        <f t="shared" si="28"/>
        <v>0</v>
      </c>
    </row>
    <row r="164" spans="1:10" s="9" customFormat="1" ht="28.5" hidden="1">
      <c r="A164" s="124" t="s">
        <v>2</v>
      </c>
      <c r="B164" s="7" t="s">
        <v>57</v>
      </c>
      <c r="C164" s="7" t="s">
        <v>35</v>
      </c>
      <c r="D164" s="7" t="s">
        <v>23</v>
      </c>
      <c r="E164" s="7"/>
      <c r="F164" s="7"/>
      <c r="G164" s="68">
        <f t="shared" si="26"/>
        <v>0</v>
      </c>
      <c r="H164" s="25">
        <f aca="true" t="shared" si="29" ref="H164:I166">H165</f>
        <v>0</v>
      </c>
      <c r="I164" s="25">
        <f t="shared" si="29"/>
        <v>0</v>
      </c>
      <c r="J164" s="25">
        <f t="shared" si="28"/>
        <v>0</v>
      </c>
    </row>
    <row r="165" spans="1:10" s="5" customFormat="1" ht="47.25" hidden="1">
      <c r="A165" s="128" t="s">
        <v>320</v>
      </c>
      <c r="B165" s="8" t="s">
        <v>57</v>
      </c>
      <c r="C165" s="8" t="s">
        <v>35</v>
      </c>
      <c r="D165" s="8" t="s">
        <v>23</v>
      </c>
      <c r="E165" s="8" t="s">
        <v>168</v>
      </c>
      <c r="F165" s="8"/>
      <c r="G165" s="68">
        <f t="shared" si="26"/>
        <v>0</v>
      </c>
      <c r="H165" s="26">
        <f t="shared" si="29"/>
        <v>0</v>
      </c>
      <c r="I165" s="26">
        <f t="shared" si="29"/>
        <v>0</v>
      </c>
      <c r="J165" s="26">
        <f>J166</f>
        <v>0</v>
      </c>
    </row>
    <row r="166" spans="1:10" s="5" customFormat="1" ht="15" hidden="1">
      <c r="A166" s="49" t="s">
        <v>46</v>
      </c>
      <c r="B166" s="8" t="s">
        <v>57</v>
      </c>
      <c r="C166" s="8" t="s">
        <v>35</v>
      </c>
      <c r="D166" s="8" t="s">
        <v>23</v>
      </c>
      <c r="E166" s="8" t="s">
        <v>169</v>
      </c>
      <c r="F166" s="8"/>
      <c r="G166" s="68">
        <f t="shared" si="26"/>
        <v>0</v>
      </c>
      <c r="H166" s="26">
        <f t="shared" si="29"/>
        <v>0</v>
      </c>
      <c r="I166" s="26">
        <f t="shared" si="29"/>
        <v>0</v>
      </c>
      <c r="J166" s="26">
        <f>J167</f>
        <v>0</v>
      </c>
    </row>
    <row r="167" spans="1:10" s="5" customFormat="1" ht="16.5" customHeight="1" hidden="1">
      <c r="A167" s="45" t="s">
        <v>87</v>
      </c>
      <c r="B167" s="8" t="s">
        <v>57</v>
      </c>
      <c r="C167" s="8" t="s">
        <v>35</v>
      </c>
      <c r="D167" s="8" t="s">
        <v>23</v>
      </c>
      <c r="E167" s="8" t="s">
        <v>169</v>
      </c>
      <c r="F167" s="8" t="s">
        <v>86</v>
      </c>
      <c r="G167" s="68">
        <f t="shared" si="26"/>
        <v>0</v>
      </c>
      <c r="H167" s="26"/>
      <c r="I167" s="26"/>
      <c r="J167" s="26"/>
    </row>
    <row r="168" spans="1:12" s="5" customFormat="1" ht="15">
      <c r="A168" s="124" t="s">
        <v>26</v>
      </c>
      <c r="B168" s="20" t="s">
        <v>57</v>
      </c>
      <c r="C168" s="20" t="s">
        <v>25</v>
      </c>
      <c r="D168" s="14"/>
      <c r="E168" s="14"/>
      <c r="F168" s="14"/>
      <c r="G168" s="68">
        <f t="shared" si="26"/>
        <v>0</v>
      </c>
      <c r="H168" s="24">
        <f>H169+H203+H227+H254+H250</f>
        <v>157666.6</v>
      </c>
      <c r="I168" s="24">
        <f>I169+I203+I227+I254+I250</f>
        <v>159416.40000000002</v>
      </c>
      <c r="J168" s="24">
        <f>J169+J203+J227+J254+J250</f>
        <v>157666.6</v>
      </c>
      <c r="K168" s="28"/>
      <c r="L168" s="28"/>
    </row>
    <row r="169" spans="1:10" s="9" customFormat="1" ht="14.25">
      <c r="A169" s="124" t="s">
        <v>48</v>
      </c>
      <c r="B169" s="7" t="s">
        <v>57</v>
      </c>
      <c r="C169" s="7" t="s">
        <v>25</v>
      </c>
      <c r="D169" s="7" t="s">
        <v>22</v>
      </c>
      <c r="E169" s="7"/>
      <c r="F169" s="7"/>
      <c r="G169" s="68">
        <f t="shared" si="26"/>
        <v>0</v>
      </c>
      <c r="H169" s="25">
        <f>H170+H189</f>
        <v>37039.8</v>
      </c>
      <c r="I169" s="25">
        <f>I170+I189</f>
        <v>37667</v>
      </c>
      <c r="J169" s="25">
        <f>J170+J189</f>
        <v>37039.8</v>
      </c>
    </row>
    <row r="170" spans="1:10" s="5" customFormat="1" ht="42.75">
      <c r="A170" s="116" t="s">
        <v>328</v>
      </c>
      <c r="B170" s="8" t="s">
        <v>57</v>
      </c>
      <c r="C170" s="8" t="s">
        <v>25</v>
      </c>
      <c r="D170" s="8" t="s">
        <v>22</v>
      </c>
      <c r="E170" s="8" t="s">
        <v>192</v>
      </c>
      <c r="F170" s="8"/>
      <c r="G170" s="68">
        <f t="shared" si="26"/>
        <v>0</v>
      </c>
      <c r="H170" s="26">
        <f>H171+H178</f>
        <v>32257.800000000003</v>
      </c>
      <c r="I170" s="26">
        <f>I171+I178</f>
        <v>32885</v>
      </c>
      <c r="J170" s="26">
        <f>J171+J178</f>
        <v>32257.800000000003</v>
      </c>
    </row>
    <row r="171" spans="1:10" s="5" customFormat="1" ht="30">
      <c r="A171" s="119" t="s">
        <v>239</v>
      </c>
      <c r="B171" s="8" t="s">
        <v>57</v>
      </c>
      <c r="C171" s="8" t="s">
        <v>25</v>
      </c>
      <c r="D171" s="8" t="s">
        <v>22</v>
      </c>
      <c r="E171" s="8" t="s">
        <v>193</v>
      </c>
      <c r="F171" s="8"/>
      <c r="G171" s="68">
        <f t="shared" si="26"/>
        <v>0</v>
      </c>
      <c r="H171" s="26">
        <f>H172+H173+H175+H176+H177+H174</f>
        <v>17866.9</v>
      </c>
      <c r="I171" s="26">
        <f>I172+I173+I175+I176+I177+I174</f>
        <v>18181.9</v>
      </c>
      <c r="J171" s="26">
        <f>J172+J173+J175+J176+J177+J174</f>
        <v>17866.9</v>
      </c>
    </row>
    <row r="172" spans="1:10" s="5" customFormat="1" ht="15">
      <c r="A172" s="33" t="s">
        <v>208</v>
      </c>
      <c r="B172" s="8" t="s">
        <v>57</v>
      </c>
      <c r="C172" s="8" t="s">
        <v>25</v>
      </c>
      <c r="D172" s="8" t="s">
        <v>22</v>
      </c>
      <c r="E172" s="8" t="s">
        <v>193</v>
      </c>
      <c r="F172" s="8" t="s">
        <v>93</v>
      </c>
      <c r="G172" s="68">
        <f t="shared" si="26"/>
        <v>0</v>
      </c>
      <c r="H172" s="120">
        <v>7305.6</v>
      </c>
      <c r="I172" s="26">
        <v>7305.6</v>
      </c>
      <c r="J172" s="120">
        <v>7305.6</v>
      </c>
    </row>
    <row r="173" spans="1:10" s="5" customFormat="1" ht="30">
      <c r="A173" s="33" t="s">
        <v>104</v>
      </c>
      <c r="B173" s="8" t="s">
        <v>57</v>
      </c>
      <c r="C173" s="8" t="s">
        <v>25</v>
      </c>
      <c r="D173" s="8" t="s">
        <v>22</v>
      </c>
      <c r="E173" s="8" t="s">
        <v>193</v>
      </c>
      <c r="F173" s="8" t="s">
        <v>103</v>
      </c>
      <c r="G173" s="68">
        <f t="shared" si="26"/>
        <v>0</v>
      </c>
      <c r="H173" s="120">
        <v>45</v>
      </c>
      <c r="I173" s="120">
        <v>45</v>
      </c>
      <c r="J173" s="120">
        <v>45</v>
      </c>
    </row>
    <row r="174" spans="1:10" s="5" customFormat="1" ht="47.25" customHeight="1">
      <c r="A174" s="37" t="s">
        <v>210</v>
      </c>
      <c r="B174" s="8" t="s">
        <v>57</v>
      </c>
      <c r="C174" s="8" t="s">
        <v>25</v>
      </c>
      <c r="D174" s="8" t="s">
        <v>22</v>
      </c>
      <c r="E174" s="8" t="s">
        <v>193</v>
      </c>
      <c r="F174" s="8" t="s">
        <v>133</v>
      </c>
      <c r="G174" s="68">
        <f t="shared" si="26"/>
        <v>0</v>
      </c>
      <c r="H174" s="120">
        <v>2206.3</v>
      </c>
      <c r="I174" s="120">
        <v>2206.3</v>
      </c>
      <c r="J174" s="120">
        <v>2206.3</v>
      </c>
    </row>
    <row r="175" spans="1:10" s="5" customFormat="1" ht="30">
      <c r="A175" s="33" t="s">
        <v>87</v>
      </c>
      <c r="B175" s="8" t="s">
        <v>57</v>
      </c>
      <c r="C175" s="8" t="s">
        <v>25</v>
      </c>
      <c r="D175" s="8" t="s">
        <v>22</v>
      </c>
      <c r="E175" s="8" t="s">
        <v>193</v>
      </c>
      <c r="F175" s="63" t="s">
        <v>86</v>
      </c>
      <c r="G175" s="68">
        <f t="shared" si="26"/>
        <v>0</v>
      </c>
      <c r="H175" s="120">
        <f>8250-280</f>
        <v>7970</v>
      </c>
      <c r="I175" s="120">
        <f>8500-15-210</f>
        <v>8275</v>
      </c>
      <c r="J175" s="120">
        <v>7970</v>
      </c>
    </row>
    <row r="176" spans="1:10" s="5" customFormat="1" ht="16.5" customHeight="1">
      <c r="A176" s="73" t="s">
        <v>108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63" t="s">
        <v>106</v>
      </c>
      <c r="G176" s="68">
        <f t="shared" si="26"/>
        <v>0</v>
      </c>
      <c r="H176" s="120">
        <v>340</v>
      </c>
      <c r="I176" s="120">
        <v>350</v>
      </c>
      <c r="J176" s="120">
        <v>340</v>
      </c>
    </row>
    <row r="177" spans="1:10" s="5" customFormat="1" ht="15" hidden="1">
      <c r="A177" s="73" t="s">
        <v>109</v>
      </c>
      <c r="B177" s="8" t="s">
        <v>57</v>
      </c>
      <c r="C177" s="8" t="s">
        <v>25</v>
      </c>
      <c r="D177" s="8" t="s">
        <v>22</v>
      </c>
      <c r="E177" s="8" t="s">
        <v>193</v>
      </c>
      <c r="F177" s="63" t="s">
        <v>107</v>
      </c>
      <c r="G177" s="68">
        <f t="shared" si="26"/>
        <v>0</v>
      </c>
      <c r="H177" s="120"/>
      <c r="I177" s="120"/>
      <c r="J177" s="120"/>
    </row>
    <row r="178" spans="1:10" s="9" customFormat="1" ht="60">
      <c r="A178" s="161" t="s">
        <v>290</v>
      </c>
      <c r="B178" s="18" t="s">
        <v>57</v>
      </c>
      <c r="C178" s="18" t="s">
        <v>25</v>
      </c>
      <c r="D178" s="18" t="s">
        <v>22</v>
      </c>
      <c r="E178" s="18" t="s">
        <v>194</v>
      </c>
      <c r="F178" s="18"/>
      <c r="G178" s="68">
        <f aca="true" t="shared" si="30" ref="G178:G202">H178-J178</f>
        <v>0</v>
      </c>
      <c r="H178" s="27">
        <f>H179+H183+H187</f>
        <v>14390.9</v>
      </c>
      <c r="I178" s="27">
        <f>I179+I183+I187</f>
        <v>14703.1</v>
      </c>
      <c r="J178" s="27">
        <f>J179+J183+J187</f>
        <v>14390.9</v>
      </c>
    </row>
    <row r="179" spans="1:10" s="9" customFormat="1" ht="60">
      <c r="A179" s="45" t="s">
        <v>291</v>
      </c>
      <c r="B179" s="18" t="s">
        <v>57</v>
      </c>
      <c r="C179" s="18" t="s">
        <v>25</v>
      </c>
      <c r="D179" s="18" t="s">
        <v>22</v>
      </c>
      <c r="E179" s="18" t="s">
        <v>258</v>
      </c>
      <c r="F179" s="18"/>
      <c r="G179" s="68">
        <f t="shared" si="30"/>
        <v>0</v>
      </c>
      <c r="H179" s="27">
        <f>H180+H181+H182</f>
        <v>10959.2</v>
      </c>
      <c r="I179" s="27">
        <f>I180+I181+I182</f>
        <v>11084.3</v>
      </c>
      <c r="J179" s="27">
        <f>J180+J181+J182</f>
        <v>10959.2</v>
      </c>
    </row>
    <row r="180" spans="1:10" s="9" customFormat="1" ht="15">
      <c r="A180" s="33" t="s">
        <v>208</v>
      </c>
      <c r="B180" s="18" t="s">
        <v>57</v>
      </c>
      <c r="C180" s="18" t="s">
        <v>25</v>
      </c>
      <c r="D180" s="18" t="s">
        <v>22</v>
      </c>
      <c r="E180" s="18" t="s">
        <v>258</v>
      </c>
      <c r="F180" s="18" t="s">
        <v>93</v>
      </c>
      <c r="G180" s="68">
        <f t="shared" si="30"/>
        <v>0</v>
      </c>
      <c r="H180" s="27">
        <v>8417.2</v>
      </c>
      <c r="I180" s="27">
        <v>8513.3</v>
      </c>
      <c r="J180" s="27">
        <v>8417.2</v>
      </c>
    </row>
    <row r="181" spans="1:10" s="9" customFormat="1" ht="30" hidden="1">
      <c r="A181" s="33" t="s">
        <v>104</v>
      </c>
      <c r="B181" s="18" t="s">
        <v>57</v>
      </c>
      <c r="C181" s="18" t="s">
        <v>25</v>
      </c>
      <c r="D181" s="18" t="s">
        <v>22</v>
      </c>
      <c r="E181" s="18" t="s">
        <v>258</v>
      </c>
      <c r="F181" s="18" t="s">
        <v>103</v>
      </c>
      <c r="G181" s="68">
        <f t="shared" si="30"/>
        <v>0</v>
      </c>
      <c r="H181" s="27"/>
      <c r="I181" s="27"/>
      <c r="J181" s="27"/>
    </row>
    <row r="182" spans="1:10" s="9" customFormat="1" ht="47.25" customHeight="1">
      <c r="A182" s="37" t="s">
        <v>210</v>
      </c>
      <c r="B182" s="18" t="s">
        <v>57</v>
      </c>
      <c r="C182" s="18" t="s">
        <v>25</v>
      </c>
      <c r="D182" s="18" t="s">
        <v>22</v>
      </c>
      <c r="E182" s="18" t="s">
        <v>258</v>
      </c>
      <c r="F182" s="18" t="s">
        <v>133</v>
      </c>
      <c r="G182" s="68">
        <f t="shared" si="30"/>
        <v>0</v>
      </c>
      <c r="H182" s="27">
        <v>2542</v>
      </c>
      <c r="I182" s="27">
        <v>2571</v>
      </c>
      <c r="J182" s="27">
        <v>2542</v>
      </c>
    </row>
    <row r="183" spans="1:10" s="9" customFormat="1" ht="45">
      <c r="A183" s="37" t="s">
        <v>292</v>
      </c>
      <c r="B183" s="18" t="s">
        <v>57</v>
      </c>
      <c r="C183" s="18" t="s">
        <v>25</v>
      </c>
      <c r="D183" s="18" t="s">
        <v>22</v>
      </c>
      <c r="E183" s="18" t="s">
        <v>259</v>
      </c>
      <c r="F183" s="18"/>
      <c r="G183" s="68">
        <f t="shared" si="30"/>
        <v>0</v>
      </c>
      <c r="H183" s="27">
        <f>H184+H185+H186</f>
        <v>3063.7999999999997</v>
      </c>
      <c r="I183" s="27">
        <f>I184+I185+I186</f>
        <v>3098.7</v>
      </c>
      <c r="J183" s="27">
        <f>J184+J185+J186</f>
        <v>3063.7999999999997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259</v>
      </c>
      <c r="F184" s="18" t="s">
        <v>93</v>
      </c>
      <c r="G184" s="68">
        <f t="shared" si="30"/>
        <v>0</v>
      </c>
      <c r="H184" s="27">
        <v>2353.2</v>
      </c>
      <c r="I184" s="27">
        <v>2380</v>
      </c>
      <c r="J184" s="27">
        <v>2353.2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259</v>
      </c>
      <c r="F185" s="18" t="s">
        <v>103</v>
      </c>
      <c r="G185" s="68">
        <f t="shared" si="30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259</v>
      </c>
      <c r="F186" s="18" t="s">
        <v>133</v>
      </c>
      <c r="G186" s="68">
        <f t="shared" si="30"/>
        <v>0</v>
      </c>
      <c r="H186" s="27">
        <v>710.6</v>
      </c>
      <c r="I186" s="27">
        <v>718.7</v>
      </c>
      <c r="J186" s="27">
        <v>710.6</v>
      </c>
    </row>
    <row r="187" spans="1:10" s="9" customFormat="1" ht="47.25" customHeight="1">
      <c r="A187" s="37" t="s">
        <v>293</v>
      </c>
      <c r="B187" s="18" t="s">
        <v>57</v>
      </c>
      <c r="C187" s="18" t="s">
        <v>25</v>
      </c>
      <c r="D187" s="18" t="s">
        <v>22</v>
      </c>
      <c r="E187" s="18" t="s">
        <v>260</v>
      </c>
      <c r="F187" s="18"/>
      <c r="G187" s="68">
        <f t="shared" si="30"/>
        <v>0</v>
      </c>
      <c r="H187" s="27">
        <f>H188</f>
        <v>367.9</v>
      </c>
      <c r="I187" s="27">
        <f>I188</f>
        <v>520.1</v>
      </c>
      <c r="J187" s="27">
        <f>J188</f>
        <v>367.9</v>
      </c>
    </row>
    <row r="188" spans="1:10" s="9" customFormat="1" ht="30">
      <c r="A188" s="52" t="s">
        <v>87</v>
      </c>
      <c r="B188" s="18" t="s">
        <v>57</v>
      </c>
      <c r="C188" s="18" t="s">
        <v>25</v>
      </c>
      <c r="D188" s="18" t="s">
        <v>22</v>
      </c>
      <c r="E188" s="18" t="s">
        <v>260</v>
      </c>
      <c r="F188" s="18" t="s">
        <v>86</v>
      </c>
      <c r="G188" s="68">
        <f t="shared" si="30"/>
        <v>0</v>
      </c>
      <c r="H188" s="27">
        <v>367.9</v>
      </c>
      <c r="I188" s="27">
        <v>520.1</v>
      </c>
      <c r="J188" s="27">
        <v>367.9</v>
      </c>
    </row>
    <row r="189" spans="1:10" s="9" customFormat="1" ht="28.5">
      <c r="A189" s="138" t="s">
        <v>329</v>
      </c>
      <c r="B189" s="8" t="s">
        <v>57</v>
      </c>
      <c r="C189" s="8" t="s">
        <v>25</v>
      </c>
      <c r="D189" s="8" t="s">
        <v>22</v>
      </c>
      <c r="E189" s="8" t="s">
        <v>195</v>
      </c>
      <c r="F189" s="18"/>
      <c r="G189" s="68">
        <f t="shared" si="30"/>
        <v>0</v>
      </c>
      <c r="H189" s="27">
        <f>H192+H190</f>
        <v>4782</v>
      </c>
      <c r="I189" s="27">
        <f>I192+I190</f>
        <v>4782</v>
      </c>
      <c r="J189" s="27">
        <f>J192+J190</f>
        <v>4782</v>
      </c>
    </row>
    <row r="190" spans="1:10" s="9" customFormat="1" ht="30">
      <c r="A190" s="44" t="s">
        <v>235</v>
      </c>
      <c r="B190" s="8" t="s">
        <v>57</v>
      </c>
      <c r="C190" s="8" t="s">
        <v>25</v>
      </c>
      <c r="D190" s="8" t="s">
        <v>22</v>
      </c>
      <c r="E190" s="8" t="s">
        <v>196</v>
      </c>
      <c r="F190" s="18"/>
      <c r="G190" s="68">
        <f t="shared" si="30"/>
        <v>0</v>
      </c>
      <c r="H190" s="27">
        <f>H191</f>
        <v>1110</v>
      </c>
      <c r="I190" s="27">
        <f>I191</f>
        <v>1110</v>
      </c>
      <c r="J190" s="27">
        <f>J191</f>
        <v>1110</v>
      </c>
    </row>
    <row r="191" spans="1:10" s="9" customFormat="1" ht="30">
      <c r="A191" s="37" t="s">
        <v>87</v>
      </c>
      <c r="B191" s="8" t="s">
        <v>57</v>
      </c>
      <c r="C191" s="8" t="s">
        <v>25</v>
      </c>
      <c r="D191" s="8" t="s">
        <v>22</v>
      </c>
      <c r="E191" s="8" t="s">
        <v>196</v>
      </c>
      <c r="F191" s="18" t="s">
        <v>86</v>
      </c>
      <c r="G191" s="68">
        <f t="shared" si="30"/>
        <v>0</v>
      </c>
      <c r="H191" s="27">
        <v>1110</v>
      </c>
      <c r="I191" s="27">
        <v>1110</v>
      </c>
      <c r="J191" s="27">
        <v>1110</v>
      </c>
    </row>
    <row r="192" spans="1:10" s="9" customFormat="1" ht="45">
      <c r="A192" s="45" t="s">
        <v>294</v>
      </c>
      <c r="B192" s="18" t="s">
        <v>57</v>
      </c>
      <c r="C192" s="18" t="s">
        <v>25</v>
      </c>
      <c r="D192" s="18" t="s">
        <v>22</v>
      </c>
      <c r="E192" s="18" t="s">
        <v>266</v>
      </c>
      <c r="F192" s="18"/>
      <c r="G192" s="68">
        <f t="shared" si="30"/>
        <v>0</v>
      </c>
      <c r="H192" s="27">
        <f>H193+H197+H201</f>
        <v>3672</v>
      </c>
      <c r="I192" s="27">
        <f>I193+I197+I201</f>
        <v>3672</v>
      </c>
      <c r="J192" s="27">
        <f>J193+J197+J201</f>
        <v>3672</v>
      </c>
    </row>
    <row r="193" spans="1:10" s="9" customFormat="1" ht="75">
      <c r="A193" s="45" t="s">
        <v>295</v>
      </c>
      <c r="B193" s="18" t="s">
        <v>57</v>
      </c>
      <c r="C193" s="18" t="s">
        <v>25</v>
      </c>
      <c r="D193" s="18" t="s">
        <v>22</v>
      </c>
      <c r="E193" s="18" t="s">
        <v>267</v>
      </c>
      <c r="F193" s="18"/>
      <c r="G193" s="68">
        <f t="shared" si="30"/>
        <v>0</v>
      </c>
      <c r="H193" s="27">
        <f>H194+H195+H196</f>
        <v>2728.9</v>
      </c>
      <c r="I193" s="27">
        <f>I194+I195+I196</f>
        <v>2728.9</v>
      </c>
      <c r="J193" s="27">
        <f>J194+J195+J196</f>
        <v>2728.9</v>
      </c>
    </row>
    <row r="194" spans="1:10" s="9" customFormat="1" ht="15">
      <c r="A194" s="37" t="s">
        <v>208</v>
      </c>
      <c r="B194" s="18" t="s">
        <v>57</v>
      </c>
      <c r="C194" s="18" t="s">
        <v>25</v>
      </c>
      <c r="D194" s="18" t="s">
        <v>22</v>
      </c>
      <c r="E194" s="18" t="s">
        <v>267</v>
      </c>
      <c r="F194" s="18" t="s">
        <v>93</v>
      </c>
      <c r="G194" s="68">
        <f t="shared" si="30"/>
        <v>0</v>
      </c>
      <c r="H194" s="27">
        <v>2095.9</v>
      </c>
      <c r="I194" s="27">
        <v>2095.9</v>
      </c>
      <c r="J194" s="27">
        <v>2095.9</v>
      </c>
    </row>
    <row r="195" spans="1:10" s="9" customFormat="1" ht="30" hidden="1">
      <c r="A195" s="37" t="s">
        <v>104</v>
      </c>
      <c r="B195" s="18" t="s">
        <v>57</v>
      </c>
      <c r="C195" s="18" t="s">
        <v>25</v>
      </c>
      <c r="D195" s="18" t="s">
        <v>22</v>
      </c>
      <c r="E195" s="18" t="s">
        <v>267</v>
      </c>
      <c r="F195" s="18" t="s">
        <v>103</v>
      </c>
      <c r="G195" s="68">
        <f t="shared" si="30"/>
        <v>0</v>
      </c>
      <c r="H195" s="27"/>
      <c r="I195" s="27"/>
      <c r="J195" s="27"/>
    </row>
    <row r="196" spans="1:10" s="9" customFormat="1" ht="46.5" customHeight="1">
      <c r="A196" s="37" t="s">
        <v>209</v>
      </c>
      <c r="B196" s="18" t="s">
        <v>57</v>
      </c>
      <c r="C196" s="18" t="s">
        <v>25</v>
      </c>
      <c r="D196" s="18" t="s">
        <v>22</v>
      </c>
      <c r="E196" s="18" t="s">
        <v>267</v>
      </c>
      <c r="F196" s="18" t="s">
        <v>133</v>
      </c>
      <c r="G196" s="68">
        <f t="shared" si="30"/>
        <v>0</v>
      </c>
      <c r="H196" s="27">
        <v>633</v>
      </c>
      <c r="I196" s="27">
        <v>633</v>
      </c>
      <c r="J196" s="27">
        <v>633</v>
      </c>
    </row>
    <row r="197" spans="1:10" s="9" customFormat="1" ht="65.25" customHeight="1">
      <c r="A197" s="66" t="s">
        <v>296</v>
      </c>
      <c r="B197" s="18" t="s">
        <v>57</v>
      </c>
      <c r="C197" s="18" t="s">
        <v>25</v>
      </c>
      <c r="D197" s="18" t="s">
        <v>22</v>
      </c>
      <c r="E197" s="18" t="s">
        <v>268</v>
      </c>
      <c r="F197" s="18"/>
      <c r="G197" s="68">
        <f t="shared" si="30"/>
        <v>0</v>
      </c>
      <c r="H197" s="27">
        <f>H198+H199+H200</f>
        <v>917.0999999999999</v>
      </c>
      <c r="I197" s="27">
        <f>I198+I199+I200</f>
        <v>917.0999999999999</v>
      </c>
      <c r="J197" s="27">
        <f>J198+J199+J200</f>
        <v>917.0999999999999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262</v>
      </c>
      <c r="F198" s="18" t="s">
        <v>93</v>
      </c>
      <c r="G198" s="68">
        <f t="shared" si="30"/>
        <v>0</v>
      </c>
      <c r="H198" s="27">
        <v>704.4</v>
      </c>
      <c r="I198" s="27">
        <v>704.4</v>
      </c>
      <c r="J198" s="27">
        <v>704.4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268</v>
      </c>
      <c r="F199" s="18" t="s">
        <v>103</v>
      </c>
      <c r="G199" s="68">
        <f t="shared" si="30"/>
        <v>0</v>
      </c>
      <c r="H199" s="27"/>
      <c r="I199" s="27"/>
      <c r="J199" s="27"/>
    </row>
    <row r="200" spans="1:10" s="9" customFormat="1" ht="45.7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268</v>
      </c>
      <c r="F200" s="18" t="s">
        <v>133</v>
      </c>
      <c r="G200" s="68">
        <f t="shared" si="30"/>
        <v>0</v>
      </c>
      <c r="H200" s="27">
        <v>212.7</v>
      </c>
      <c r="I200" s="27">
        <v>212.7</v>
      </c>
      <c r="J200" s="27">
        <v>212.7</v>
      </c>
    </row>
    <row r="201" spans="1:10" s="9" customFormat="1" ht="60">
      <c r="A201" s="66" t="s">
        <v>270</v>
      </c>
      <c r="B201" s="18" t="s">
        <v>57</v>
      </c>
      <c r="C201" s="18" t="s">
        <v>25</v>
      </c>
      <c r="D201" s="18" t="s">
        <v>22</v>
      </c>
      <c r="E201" s="18" t="s">
        <v>269</v>
      </c>
      <c r="F201" s="18"/>
      <c r="G201" s="68">
        <f t="shared" si="30"/>
        <v>0</v>
      </c>
      <c r="H201" s="27">
        <f>H202</f>
        <v>26</v>
      </c>
      <c r="I201" s="27">
        <f>I202</f>
        <v>26</v>
      </c>
      <c r="J201" s="27">
        <f>J202</f>
        <v>26</v>
      </c>
    </row>
    <row r="202" spans="1:10" s="9" customFormat="1" ht="30">
      <c r="A202" s="44" t="s">
        <v>87</v>
      </c>
      <c r="B202" s="18" t="s">
        <v>57</v>
      </c>
      <c r="C202" s="18" t="s">
        <v>25</v>
      </c>
      <c r="D202" s="18" t="s">
        <v>22</v>
      </c>
      <c r="E202" s="18" t="s">
        <v>269</v>
      </c>
      <c r="F202" s="18" t="s">
        <v>86</v>
      </c>
      <c r="G202" s="68">
        <f t="shared" si="30"/>
        <v>0</v>
      </c>
      <c r="H202" s="27">
        <v>26</v>
      </c>
      <c r="I202" s="27">
        <v>26</v>
      </c>
      <c r="J202" s="27">
        <v>26</v>
      </c>
    </row>
    <row r="203" spans="1:10" s="9" customFormat="1" ht="14.25">
      <c r="A203" s="124" t="s">
        <v>28</v>
      </c>
      <c r="B203" s="7" t="s">
        <v>57</v>
      </c>
      <c r="C203" s="7" t="s">
        <v>25</v>
      </c>
      <c r="D203" s="7" t="s">
        <v>27</v>
      </c>
      <c r="E203" s="7"/>
      <c r="F203" s="7"/>
      <c r="G203" s="68">
        <f aca="true" t="shared" si="31" ref="G203:G209">H203-J203</f>
        <v>0</v>
      </c>
      <c r="H203" s="25">
        <f>H204+H221</f>
        <v>109031.09999999999</v>
      </c>
      <c r="I203" s="25">
        <f>I204+I221</f>
        <v>110053.7</v>
      </c>
      <c r="J203" s="25">
        <f>J204+J221</f>
        <v>109031.09999999999</v>
      </c>
    </row>
    <row r="204" spans="1:10" s="5" customFormat="1" ht="28.5">
      <c r="A204" s="116" t="s">
        <v>329</v>
      </c>
      <c r="B204" s="8" t="s">
        <v>57</v>
      </c>
      <c r="C204" s="8" t="s">
        <v>25</v>
      </c>
      <c r="D204" s="8" t="s">
        <v>27</v>
      </c>
      <c r="E204" s="8" t="s">
        <v>195</v>
      </c>
      <c r="F204" s="8"/>
      <c r="G204" s="68">
        <f t="shared" si="31"/>
        <v>0</v>
      </c>
      <c r="H204" s="26">
        <f>H210+H205</f>
        <v>105053.09999999999</v>
      </c>
      <c r="I204" s="26">
        <f>I210+I205</f>
        <v>106075.7</v>
      </c>
      <c r="J204" s="26">
        <f>J210+J205</f>
        <v>105053.09999999999</v>
      </c>
    </row>
    <row r="205" spans="1:10" s="5" customFormat="1" ht="30">
      <c r="A205" s="52" t="s">
        <v>235</v>
      </c>
      <c r="B205" s="8" t="s">
        <v>57</v>
      </c>
      <c r="C205" s="8" t="s">
        <v>25</v>
      </c>
      <c r="D205" s="8" t="s">
        <v>27</v>
      </c>
      <c r="E205" s="8" t="s">
        <v>196</v>
      </c>
      <c r="F205" s="8"/>
      <c r="G205" s="68">
        <f t="shared" si="31"/>
        <v>0</v>
      </c>
      <c r="H205" s="26">
        <f>H206+H207+H208+H209</f>
        <v>18870</v>
      </c>
      <c r="I205" s="26">
        <f>I206+I207+I208+I209</f>
        <v>19070</v>
      </c>
      <c r="J205" s="26">
        <f>J206+J207+J208+J209</f>
        <v>18870</v>
      </c>
    </row>
    <row r="206" spans="1:10" s="5" customFormat="1" ht="30">
      <c r="A206" s="52" t="s">
        <v>104</v>
      </c>
      <c r="B206" s="8" t="s">
        <v>57</v>
      </c>
      <c r="C206" s="8" t="s">
        <v>25</v>
      </c>
      <c r="D206" s="8" t="s">
        <v>27</v>
      </c>
      <c r="E206" s="8" t="s">
        <v>196</v>
      </c>
      <c r="F206" s="8" t="s">
        <v>103</v>
      </c>
      <c r="G206" s="68">
        <f t="shared" si="31"/>
        <v>0</v>
      </c>
      <c r="H206" s="26">
        <v>180</v>
      </c>
      <c r="I206" s="26">
        <v>180</v>
      </c>
      <c r="J206" s="26">
        <v>180</v>
      </c>
    </row>
    <row r="207" spans="1:10" s="5" customFormat="1" ht="30">
      <c r="A207" s="52" t="s">
        <v>87</v>
      </c>
      <c r="B207" s="8" t="s">
        <v>57</v>
      </c>
      <c r="C207" s="8" t="s">
        <v>25</v>
      </c>
      <c r="D207" s="8" t="s">
        <v>27</v>
      </c>
      <c r="E207" s="8" t="s">
        <v>196</v>
      </c>
      <c r="F207" s="8" t="s">
        <v>86</v>
      </c>
      <c r="G207" s="68">
        <f t="shared" si="31"/>
        <v>0</v>
      </c>
      <c r="H207" s="120">
        <f>19200-400-1110</f>
        <v>17690</v>
      </c>
      <c r="I207" s="26">
        <f>19000-1110</f>
        <v>17890</v>
      </c>
      <c r="J207" s="120">
        <v>17690</v>
      </c>
    </row>
    <row r="208" spans="1:10" s="5" customFormat="1" ht="15" customHeight="1">
      <c r="A208" s="52" t="s">
        <v>108</v>
      </c>
      <c r="B208" s="8" t="s">
        <v>57</v>
      </c>
      <c r="C208" s="8" t="s">
        <v>25</v>
      </c>
      <c r="D208" s="8" t="s">
        <v>27</v>
      </c>
      <c r="E208" s="8" t="s">
        <v>196</v>
      </c>
      <c r="F208" s="8" t="s">
        <v>106</v>
      </c>
      <c r="G208" s="68">
        <f t="shared" si="31"/>
        <v>0</v>
      </c>
      <c r="H208" s="120">
        <v>1000</v>
      </c>
      <c r="I208" s="120">
        <v>1000</v>
      </c>
      <c r="J208" s="120">
        <v>1000</v>
      </c>
    </row>
    <row r="209" spans="1:10" s="5" customFormat="1" ht="16.5" customHeight="1" hidden="1">
      <c r="A209" s="49" t="s">
        <v>109</v>
      </c>
      <c r="B209" s="8" t="s">
        <v>57</v>
      </c>
      <c r="C209" s="8" t="s">
        <v>25</v>
      </c>
      <c r="D209" s="8" t="s">
        <v>27</v>
      </c>
      <c r="E209" s="8" t="s">
        <v>196</v>
      </c>
      <c r="F209" s="63" t="s">
        <v>107</v>
      </c>
      <c r="G209" s="68">
        <f t="shared" si="31"/>
        <v>0</v>
      </c>
      <c r="H209" s="120"/>
      <c r="I209" s="120"/>
      <c r="J209" s="120"/>
    </row>
    <row r="210" spans="1:10" s="5" customFormat="1" ht="60.75" customHeight="1">
      <c r="A210" s="161" t="s">
        <v>347</v>
      </c>
      <c r="B210" s="18" t="s">
        <v>57</v>
      </c>
      <c r="C210" s="18" t="s">
        <v>25</v>
      </c>
      <c r="D210" s="18" t="s">
        <v>27</v>
      </c>
      <c r="E210" s="18" t="s">
        <v>197</v>
      </c>
      <c r="F210" s="18"/>
      <c r="G210" s="68">
        <f aca="true" t="shared" si="32" ref="G210:G220">H210-J210</f>
        <v>0</v>
      </c>
      <c r="H210" s="120">
        <f>H211+H215+H219</f>
        <v>86183.09999999999</v>
      </c>
      <c r="I210" s="120">
        <f>I211+I215+I219</f>
        <v>87005.7</v>
      </c>
      <c r="J210" s="120">
        <f>J211+J215+J219</f>
        <v>86183.09999999999</v>
      </c>
    </row>
    <row r="211" spans="1:10" s="5" customFormat="1" ht="45">
      <c r="A211" s="45" t="s">
        <v>300</v>
      </c>
      <c r="B211" s="18" t="s">
        <v>57</v>
      </c>
      <c r="C211" s="18" t="s">
        <v>25</v>
      </c>
      <c r="D211" s="18" t="s">
        <v>27</v>
      </c>
      <c r="E211" s="18" t="s">
        <v>261</v>
      </c>
      <c r="F211" s="18"/>
      <c r="G211" s="68">
        <f t="shared" si="32"/>
        <v>0</v>
      </c>
      <c r="H211" s="120">
        <f>H212+H214+H213</f>
        <v>62731.4</v>
      </c>
      <c r="I211" s="120">
        <f>I212+I214+I213</f>
        <v>63142.7</v>
      </c>
      <c r="J211" s="120">
        <f>J212+J214+J213</f>
        <v>62731.4</v>
      </c>
    </row>
    <row r="212" spans="1:10" s="5" customFormat="1" ht="15">
      <c r="A212" s="33" t="s">
        <v>208</v>
      </c>
      <c r="B212" s="18" t="s">
        <v>57</v>
      </c>
      <c r="C212" s="18" t="s">
        <v>25</v>
      </c>
      <c r="D212" s="18" t="s">
        <v>27</v>
      </c>
      <c r="E212" s="18" t="s">
        <v>261</v>
      </c>
      <c r="F212" s="18" t="s">
        <v>93</v>
      </c>
      <c r="G212" s="68">
        <f t="shared" si="32"/>
        <v>0</v>
      </c>
      <c r="H212" s="120">
        <v>48180.8</v>
      </c>
      <c r="I212" s="120">
        <v>48496.7</v>
      </c>
      <c r="J212" s="120">
        <v>48180.8</v>
      </c>
    </row>
    <row r="213" spans="1:10" s="5" customFormat="1" ht="30" hidden="1">
      <c r="A213" s="33" t="s">
        <v>104</v>
      </c>
      <c r="B213" s="18" t="s">
        <v>57</v>
      </c>
      <c r="C213" s="18" t="s">
        <v>25</v>
      </c>
      <c r="D213" s="18" t="s">
        <v>27</v>
      </c>
      <c r="E213" s="18" t="s">
        <v>261</v>
      </c>
      <c r="F213" s="18" t="s">
        <v>103</v>
      </c>
      <c r="G213" s="68">
        <f t="shared" si="32"/>
        <v>0</v>
      </c>
      <c r="H213" s="120"/>
      <c r="I213" s="120"/>
      <c r="J213" s="120"/>
    </row>
    <row r="214" spans="1:10" s="5" customFormat="1" ht="45.75" customHeight="1">
      <c r="A214" s="37" t="s">
        <v>210</v>
      </c>
      <c r="B214" s="18" t="s">
        <v>57</v>
      </c>
      <c r="C214" s="18" t="s">
        <v>25</v>
      </c>
      <c r="D214" s="18" t="s">
        <v>27</v>
      </c>
      <c r="E214" s="18" t="s">
        <v>261</v>
      </c>
      <c r="F214" s="18" t="s">
        <v>133</v>
      </c>
      <c r="G214" s="68">
        <f t="shared" si="32"/>
        <v>0</v>
      </c>
      <c r="H214" s="120">
        <v>14550.6</v>
      </c>
      <c r="I214" s="120">
        <v>14646</v>
      </c>
      <c r="J214" s="120">
        <v>14550.6</v>
      </c>
    </row>
    <row r="215" spans="1:10" s="5" customFormat="1" ht="45.75" customHeight="1">
      <c r="A215" s="66" t="s">
        <v>301</v>
      </c>
      <c r="B215" s="18" t="s">
        <v>57</v>
      </c>
      <c r="C215" s="18" t="s">
        <v>25</v>
      </c>
      <c r="D215" s="18" t="s">
        <v>27</v>
      </c>
      <c r="E215" s="18" t="s">
        <v>262</v>
      </c>
      <c r="F215" s="18"/>
      <c r="G215" s="68">
        <f t="shared" si="32"/>
        <v>0</v>
      </c>
      <c r="H215" s="120">
        <f>H216+H217+H218</f>
        <v>17693.5</v>
      </c>
      <c r="I215" s="120">
        <f>I216+I217+I218</f>
        <v>17809.5</v>
      </c>
      <c r="J215" s="120">
        <f>J216+J217+J218</f>
        <v>17693.5</v>
      </c>
    </row>
    <row r="216" spans="1:10" s="5" customFormat="1" ht="15">
      <c r="A216" s="33" t="s">
        <v>208</v>
      </c>
      <c r="B216" s="18" t="s">
        <v>57</v>
      </c>
      <c r="C216" s="18" t="s">
        <v>25</v>
      </c>
      <c r="D216" s="18" t="s">
        <v>27</v>
      </c>
      <c r="E216" s="18" t="s">
        <v>262</v>
      </c>
      <c r="F216" s="18" t="s">
        <v>93</v>
      </c>
      <c r="G216" s="68">
        <f t="shared" si="32"/>
        <v>0</v>
      </c>
      <c r="H216" s="120">
        <v>13589.5</v>
      </c>
      <c r="I216" s="120">
        <v>13678.6</v>
      </c>
      <c r="J216" s="120">
        <v>13589.5</v>
      </c>
    </row>
    <row r="217" spans="1:10" s="5" customFormat="1" ht="30" hidden="1">
      <c r="A217" s="33" t="s">
        <v>104</v>
      </c>
      <c r="B217" s="18" t="s">
        <v>57</v>
      </c>
      <c r="C217" s="18" t="s">
        <v>25</v>
      </c>
      <c r="D217" s="18" t="s">
        <v>27</v>
      </c>
      <c r="E217" s="18" t="s">
        <v>262</v>
      </c>
      <c r="F217" s="18" t="s">
        <v>103</v>
      </c>
      <c r="G217" s="68">
        <f t="shared" si="32"/>
        <v>0</v>
      </c>
      <c r="H217" s="120"/>
      <c r="I217" s="120"/>
      <c r="J217" s="120"/>
    </row>
    <row r="218" spans="1:10" s="5" customFormat="1" ht="45.75" customHeight="1">
      <c r="A218" s="37" t="s">
        <v>210</v>
      </c>
      <c r="B218" s="18" t="s">
        <v>57</v>
      </c>
      <c r="C218" s="18" t="s">
        <v>25</v>
      </c>
      <c r="D218" s="18" t="s">
        <v>27</v>
      </c>
      <c r="E218" s="18" t="s">
        <v>262</v>
      </c>
      <c r="F218" s="18" t="s">
        <v>133</v>
      </c>
      <c r="G218" s="68">
        <f t="shared" si="32"/>
        <v>0</v>
      </c>
      <c r="H218" s="120">
        <v>4104</v>
      </c>
      <c r="I218" s="120">
        <v>4130.9</v>
      </c>
      <c r="J218" s="120">
        <v>4104</v>
      </c>
    </row>
    <row r="219" spans="1:10" s="5" customFormat="1" ht="45.75" customHeight="1">
      <c r="A219" s="66" t="s">
        <v>302</v>
      </c>
      <c r="B219" s="18" t="s">
        <v>57</v>
      </c>
      <c r="C219" s="18" t="s">
        <v>25</v>
      </c>
      <c r="D219" s="18" t="s">
        <v>27</v>
      </c>
      <c r="E219" s="18" t="s">
        <v>263</v>
      </c>
      <c r="F219" s="18"/>
      <c r="G219" s="68">
        <f t="shared" si="32"/>
        <v>0</v>
      </c>
      <c r="H219" s="120">
        <f>H220</f>
        <v>5758.2</v>
      </c>
      <c r="I219" s="120">
        <f>I220</f>
        <v>6053.5</v>
      </c>
      <c r="J219" s="120">
        <f>J220</f>
        <v>5758.2</v>
      </c>
    </row>
    <row r="220" spans="1:10" s="5" customFormat="1" ht="30">
      <c r="A220" s="52" t="s">
        <v>87</v>
      </c>
      <c r="B220" s="18" t="s">
        <v>57</v>
      </c>
      <c r="C220" s="18" t="s">
        <v>25</v>
      </c>
      <c r="D220" s="18" t="s">
        <v>27</v>
      </c>
      <c r="E220" s="18" t="s">
        <v>263</v>
      </c>
      <c r="F220" s="18" t="s">
        <v>86</v>
      </c>
      <c r="G220" s="68">
        <f t="shared" si="32"/>
        <v>0</v>
      </c>
      <c r="H220" s="120">
        <v>5758.2</v>
      </c>
      <c r="I220" s="120">
        <v>6053.5</v>
      </c>
      <c r="J220" s="120">
        <v>5758.2</v>
      </c>
    </row>
    <row r="221" spans="1:10" s="5" customFormat="1" ht="16.5" customHeight="1">
      <c r="A221" s="33" t="s">
        <v>92</v>
      </c>
      <c r="B221" s="8" t="s">
        <v>57</v>
      </c>
      <c r="C221" s="8" t="s">
        <v>25</v>
      </c>
      <c r="D221" s="8" t="s">
        <v>27</v>
      </c>
      <c r="E221" s="8" t="s">
        <v>140</v>
      </c>
      <c r="F221" s="63"/>
      <c r="G221" s="68">
        <f aca="true" t="shared" si="33" ref="G221:G240">H221-J221</f>
        <v>0</v>
      </c>
      <c r="H221" s="26">
        <f>H224+H222</f>
        <v>3978</v>
      </c>
      <c r="I221" s="26">
        <f>I224+I222</f>
        <v>3978</v>
      </c>
      <c r="J221" s="26">
        <f>J224+J222</f>
        <v>3978</v>
      </c>
    </row>
    <row r="222" spans="1:10" s="9" customFormat="1" ht="45">
      <c r="A222" s="49" t="s">
        <v>304</v>
      </c>
      <c r="B222" s="18" t="s">
        <v>57</v>
      </c>
      <c r="C222" s="18" t="s">
        <v>25</v>
      </c>
      <c r="D222" s="18" t="s">
        <v>27</v>
      </c>
      <c r="E222" s="18" t="s">
        <v>200</v>
      </c>
      <c r="F222" s="18"/>
      <c r="G222" s="68">
        <f t="shared" si="33"/>
        <v>0</v>
      </c>
      <c r="H222" s="27">
        <f>H223</f>
        <v>3978</v>
      </c>
      <c r="I222" s="27">
        <f>I223</f>
        <v>3978</v>
      </c>
      <c r="J222" s="27">
        <f>J223</f>
        <v>3978</v>
      </c>
    </row>
    <row r="223" spans="1:10" s="9" customFormat="1" ht="30">
      <c r="A223" s="37" t="s">
        <v>241</v>
      </c>
      <c r="B223" s="18" t="s">
        <v>57</v>
      </c>
      <c r="C223" s="18" t="s">
        <v>25</v>
      </c>
      <c r="D223" s="18" t="s">
        <v>27</v>
      </c>
      <c r="E223" s="18" t="s">
        <v>200</v>
      </c>
      <c r="F223" s="18" t="s">
        <v>242</v>
      </c>
      <c r="G223" s="68">
        <f t="shared" si="33"/>
        <v>0</v>
      </c>
      <c r="H223" s="27">
        <v>3978</v>
      </c>
      <c r="I223" s="27">
        <v>3978</v>
      </c>
      <c r="J223" s="27">
        <v>3978</v>
      </c>
    </row>
    <row r="224" spans="1:11" s="5" customFormat="1" ht="66.75" customHeight="1" hidden="1">
      <c r="A224" s="45" t="s">
        <v>221</v>
      </c>
      <c r="B224" s="8" t="s">
        <v>57</v>
      </c>
      <c r="C224" s="8" t="s">
        <v>25</v>
      </c>
      <c r="D224" s="8" t="s">
        <v>27</v>
      </c>
      <c r="E224" s="8" t="s">
        <v>220</v>
      </c>
      <c r="F224" s="8"/>
      <c r="G224" s="68">
        <f t="shared" si="33"/>
        <v>0</v>
      </c>
      <c r="H224" s="26">
        <f>H225+H226</f>
        <v>0</v>
      </c>
      <c r="I224" s="26">
        <f>I225+I226</f>
        <v>0</v>
      </c>
      <c r="J224" s="26">
        <f>J225+J226</f>
        <v>0</v>
      </c>
      <c r="K224" s="28"/>
    </row>
    <row r="225" spans="1:10" s="5" customFormat="1" ht="15" hidden="1">
      <c r="A225" s="33" t="s">
        <v>208</v>
      </c>
      <c r="B225" s="8" t="s">
        <v>57</v>
      </c>
      <c r="C225" s="8" t="s">
        <v>25</v>
      </c>
      <c r="D225" s="8" t="s">
        <v>27</v>
      </c>
      <c r="E225" s="8" t="s">
        <v>220</v>
      </c>
      <c r="F225" s="8" t="s">
        <v>93</v>
      </c>
      <c r="G225" s="68">
        <f t="shared" si="33"/>
        <v>0</v>
      </c>
      <c r="H225" s="26"/>
      <c r="I225" s="26"/>
      <c r="J225" s="26"/>
    </row>
    <row r="226" spans="1:10" s="5" customFormat="1" ht="48" customHeight="1" hidden="1">
      <c r="A226" s="37" t="s">
        <v>209</v>
      </c>
      <c r="B226" s="8" t="s">
        <v>57</v>
      </c>
      <c r="C226" s="8" t="s">
        <v>25</v>
      </c>
      <c r="D226" s="8" t="s">
        <v>27</v>
      </c>
      <c r="E226" s="8" t="s">
        <v>220</v>
      </c>
      <c r="F226" s="8" t="s">
        <v>133</v>
      </c>
      <c r="G226" s="68">
        <f t="shared" si="33"/>
        <v>0</v>
      </c>
      <c r="H226" s="26"/>
      <c r="I226" s="92"/>
      <c r="J226" s="26"/>
    </row>
    <row r="227" spans="1:11" s="9" customFormat="1" ht="14.25">
      <c r="A227" s="50" t="s">
        <v>234</v>
      </c>
      <c r="B227" s="7" t="s">
        <v>57</v>
      </c>
      <c r="C227" s="7" t="s">
        <v>25</v>
      </c>
      <c r="D227" s="7" t="s">
        <v>23</v>
      </c>
      <c r="E227" s="7"/>
      <c r="F227" s="7"/>
      <c r="G227" s="68">
        <f t="shared" si="33"/>
        <v>0</v>
      </c>
      <c r="H227" s="25">
        <f>H228+H231+H236+H241</f>
        <v>10598.1</v>
      </c>
      <c r="I227" s="25">
        <f>I228+I231+I236+I241</f>
        <v>10698.1</v>
      </c>
      <c r="J227" s="25">
        <f>J228+J231+J236+J241</f>
        <v>10598.1</v>
      </c>
      <c r="K227" s="29"/>
    </row>
    <row r="228" spans="1:10" s="5" customFormat="1" ht="94.5">
      <c r="A228" s="129" t="s">
        <v>324</v>
      </c>
      <c r="B228" s="8" t="s">
        <v>57</v>
      </c>
      <c r="C228" s="8" t="s">
        <v>25</v>
      </c>
      <c r="D228" s="8" t="s">
        <v>23</v>
      </c>
      <c r="E228" s="8" t="s">
        <v>170</v>
      </c>
      <c r="F228" s="8"/>
      <c r="G228" s="68">
        <f t="shared" si="33"/>
        <v>0</v>
      </c>
      <c r="H228" s="26">
        <f aca="true" t="shared" si="34" ref="H228:J229">H229</f>
        <v>3650</v>
      </c>
      <c r="I228" s="26">
        <f t="shared" si="34"/>
        <v>3700</v>
      </c>
      <c r="J228" s="26">
        <f t="shared" si="34"/>
        <v>3650</v>
      </c>
    </row>
    <row r="229" spans="1:10" s="5" customFormat="1" ht="15">
      <c r="A229" s="49" t="s">
        <v>124</v>
      </c>
      <c r="B229" s="8" t="s">
        <v>57</v>
      </c>
      <c r="C229" s="8" t="s">
        <v>25</v>
      </c>
      <c r="D229" s="8" t="s">
        <v>23</v>
      </c>
      <c r="E229" s="8" t="s">
        <v>171</v>
      </c>
      <c r="F229" s="8"/>
      <c r="G229" s="68">
        <f t="shared" si="33"/>
        <v>0</v>
      </c>
      <c r="H229" s="26">
        <f t="shared" si="34"/>
        <v>3650</v>
      </c>
      <c r="I229" s="26">
        <f t="shared" si="34"/>
        <v>3700</v>
      </c>
      <c r="J229" s="26">
        <f t="shared" si="34"/>
        <v>3650</v>
      </c>
    </row>
    <row r="230" spans="1:10" s="5" customFormat="1" ht="58.5" customHeight="1">
      <c r="A230" s="71" t="s">
        <v>94</v>
      </c>
      <c r="B230" s="8" t="s">
        <v>57</v>
      </c>
      <c r="C230" s="8" t="s">
        <v>25</v>
      </c>
      <c r="D230" s="8" t="s">
        <v>23</v>
      </c>
      <c r="E230" s="8" t="s">
        <v>171</v>
      </c>
      <c r="F230" s="8" t="s">
        <v>70</v>
      </c>
      <c r="G230" s="68">
        <f t="shared" si="33"/>
        <v>0</v>
      </c>
      <c r="H230" s="26">
        <v>3650</v>
      </c>
      <c r="I230" s="26">
        <v>3700</v>
      </c>
      <c r="J230" s="27">
        <v>3650</v>
      </c>
    </row>
    <row r="231" spans="1:10" s="16" customFormat="1" ht="44.25" customHeight="1" hidden="1">
      <c r="A231" s="138" t="s">
        <v>328</v>
      </c>
      <c r="B231" s="8" t="s">
        <v>57</v>
      </c>
      <c r="C231" s="8" t="s">
        <v>25</v>
      </c>
      <c r="D231" s="8" t="s">
        <v>23</v>
      </c>
      <c r="E231" s="8" t="s">
        <v>192</v>
      </c>
      <c r="F231" s="20"/>
      <c r="G231" s="68">
        <f t="shared" si="33"/>
        <v>0</v>
      </c>
      <c r="H231" s="27">
        <f>H232</f>
        <v>0</v>
      </c>
      <c r="I231" s="27">
        <f>I232</f>
        <v>0</v>
      </c>
      <c r="J231" s="27">
        <f>J232</f>
        <v>0</v>
      </c>
    </row>
    <row r="232" spans="1:10" s="16" customFormat="1" ht="30" hidden="1">
      <c r="A232" s="154" t="s">
        <v>305</v>
      </c>
      <c r="B232" s="155" t="s">
        <v>57</v>
      </c>
      <c r="C232" s="155" t="s">
        <v>25</v>
      </c>
      <c r="D232" s="155" t="s">
        <v>23</v>
      </c>
      <c r="E232" s="155" t="s">
        <v>355</v>
      </c>
      <c r="F232" s="63"/>
      <c r="G232" s="68">
        <f t="shared" si="33"/>
        <v>0</v>
      </c>
      <c r="H232" s="27">
        <f>H235+H233+H234</f>
        <v>0</v>
      </c>
      <c r="I232" s="27">
        <f>I235+I233+I234</f>
        <v>0</v>
      </c>
      <c r="J232" s="27">
        <f>J235+J233+J234</f>
        <v>0</v>
      </c>
    </row>
    <row r="233" spans="1:10" s="16" customFormat="1" ht="15" hidden="1">
      <c r="A233" s="37" t="s">
        <v>208</v>
      </c>
      <c r="B233" s="155" t="s">
        <v>57</v>
      </c>
      <c r="C233" s="155" t="s">
        <v>25</v>
      </c>
      <c r="D233" s="155" t="s">
        <v>23</v>
      </c>
      <c r="E233" s="155" t="s">
        <v>240</v>
      </c>
      <c r="F233" s="63" t="s">
        <v>93</v>
      </c>
      <c r="G233" s="68">
        <f t="shared" si="33"/>
        <v>0</v>
      </c>
      <c r="H233" s="27"/>
      <c r="I233" s="27"/>
      <c r="J233" s="27"/>
    </row>
    <row r="234" spans="1:10" s="16" customFormat="1" ht="48" customHeight="1" hidden="1">
      <c r="A234" s="37" t="s">
        <v>209</v>
      </c>
      <c r="B234" s="155" t="s">
        <v>57</v>
      </c>
      <c r="C234" s="155" t="s">
        <v>25</v>
      </c>
      <c r="D234" s="155" t="s">
        <v>23</v>
      </c>
      <c r="E234" s="155" t="s">
        <v>240</v>
      </c>
      <c r="F234" s="63" t="s">
        <v>133</v>
      </c>
      <c r="G234" s="68">
        <f t="shared" si="33"/>
        <v>0</v>
      </c>
      <c r="H234" s="27"/>
      <c r="I234" s="27"/>
      <c r="J234" s="27"/>
    </row>
    <row r="235" spans="1:10" s="16" customFormat="1" ht="30" hidden="1">
      <c r="A235" s="156" t="s">
        <v>87</v>
      </c>
      <c r="B235" s="155" t="s">
        <v>57</v>
      </c>
      <c r="C235" s="155" t="s">
        <v>25</v>
      </c>
      <c r="D235" s="155" t="s">
        <v>23</v>
      </c>
      <c r="E235" s="155" t="s">
        <v>355</v>
      </c>
      <c r="F235" s="63" t="s">
        <v>86</v>
      </c>
      <c r="G235" s="68">
        <f t="shared" si="33"/>
        <v>0</v>
      </c>
      <c r="H235" s="27"/>
      <c r="I235" s="27"/>
      <c r="J235" s="27"/>
    </row>
    <row r="236" spans="1:10" s="16" customFormat="1" ht="36.75" customHeight="1" hidden="1">
      <c r="A236" s="138" t="s">
        <v>329</v>
      </c>
      <c r="B236" s="8" t="s">
        <v>57</v>
      </c>
      <c r="C236" s="8" t="s">
        <v>25</v>
      </c>
      <c r="D236" s="8" t="s">
        <v>23</v>
      </c>
      <c r="E236" s="8" t="s">
        <v>195</v>
      </c>
      <c r="F236" s="20"/>
      <c r="G236" s="68">
        <f t="shared" si="33"/>
        <v>0</v>
      </c>
      <c r="H236" s="27">
        <f>H237</f>
        <v>0</v>
      </c>
      <c r="I236" s="27">
        <f>I237</f>
        <v>0</v>
      </c>
      <c r="J236" s="27">
        <f>J237</f>
        <v>0</v>
      </c>
    </row>
    <row r="237" spans="1:10" s="16" customFormat="1" ht="30" hidden="1">
      <c r="A237" s="154" t="s">
        <v>305</v>
      </c>
      <c r="B237" s="155" t="s">
        <v>57</v>
      </c>
      <c r="C237" s="155" t="s">
        <v>25</v>
      </c>
      <c r="D237" s="155" t="s">
        <v>23</v>
      </c>
      <c r="E237" s="155" t="s">
        <v>343</v>
      </c>
      <c r="F237" s="63"/>
      <c r="G237" s="68">
        <f t="shared" si="33"/>
        <v>0</v>
      </c>
      <c r="H237" s="27">
        <f>H240+H238+H239</f>
        <v>0</v>
      </c>
      <c r="I237" s="27">
        <f>I240+I238+I239</f>
        <v>0</v>
      </c>
      <c r="J237" s="27">
        <f>J240+J238+J239</f>
        <v>0</v>
      </c>
    </row>
    <row r="238" spans="1:10" s="16" customFormat="1" ht="15" hidden="1">
      <c r="A238" s="37" t="s">
        <v>208</v>
      </c>
      <c r="B238" s="155" t="s">
        <v>57</v>
      </c>
      <c r="C238" s="155" t="s">
        <v>25</v>
      </c>
      <c r="D238" s="155" t="s">
        <v>23</v>
      </c>
      <c r="E238" s="155" t="s">
        <v>243</v>
      </c>
      <c r="F238" s="63" t="s">
        <v>93</v>
      </c>
      <c r="G238" s="68">
        <f t="shared" si="33"/>
        <v>0</v>
      </c>
      <c r="H238" s="27"/>
      <c r="I238" s="27"/>
      <c r="J238" s="27"/>
    </row>
    <row r="239" spans="1:10" s="16" customFormat="1" ht="46.5" customHeight="1" hidden="1">
      <c r="A239" s="37" t="s">
        <v>209</v>
      </c>
      <c r="B239" s="155" t="s">
        <v>57</v>
      </c>
      <c r="C239" s="155" t="s">
        <v>25</v>
      </c>
      <c r="D239" s="155" t="s">
        <v>23</v>
      </c>
      <c r="E239" s="155" t="s">
        <v>243</v>
      </c>
      <c r="F239" s="63" t="s">
        <v>133</v>
      </c>
      <c r="G239" s="68">
        <f t="shared" si="33"/>
        <v>0</v>
      </c>
      <c r="H239" s="27"/>
      <c r="I239" s="27"/>
      <c r="J239" s="27"/>
    </row>
    <row r="240" spans="1:10" s="16" customFormat="1" ht="30" hidden="1">
      <c r="A240" s="156" t="s">
        <v>87</v>
      </c>
      <c r="B240" s="155" t="s">
        <v>57</v>
      </c>
      <c r="C240" s="155" t="s">
        <v>25</v>
      </c>
      <c r="D240" s="155" t="s">
        <v>23</v>
      </c>
      <c r="E240" s="155" t="s">
        <v>343</v>
      </c>
      <c r="F240" s="63" t="s">
        <v>86</v>
      </c>
      <c r="G240" s="68">
        <f t="shared" si="33"/>
        <v>0</v>
      </c>
      <c r="H240" s="27"/>
      <c r="I240" s="27"/>
      <c r="J240" s="27"/>
    </row>
    <row r="241" spans="1:10" s="5" customFormat="1" ht="47.25">
      <c r="A241" s="128" t="s">
        <v>331</v>
      </c>
      <c r="B241" s="8" t="s">
        <v>57</v>
      </c>
      <c r="C241" s="8" t="s">
        <v>25</v>
      </c>
      <c r="D241" s="8" t="s">
        <v>23</v>
      </c>
      <c r="E241" s="8" t="s">
        <v>198</v>
      </c>
      <c r="F241" s="8"/>
      <c r="G241" s="68">
        <f aca="true" t="shared" si="35" ref="G241:G253">H241-J241</f>
        <v>0</v>
      </c>
      <c r="H241" s="26">
        <f>H242</f>
        <v>6948.1</v>
      </c>
      <c r="I241" s="27">
        <f>I242</f>
        <v>6998.1</v>
      </c>
      <c r="J241" s="26">
        <f>J242</f>
        <v>6948.1</v>
      </c>
    </row>
    <row r="242" spans="1:10" s="5" customFormat="1" ht="30">
      <c r="A242" s="52" t="s">
        <v>235</v>
      </c>
      <c r="B242" s="8" t="s">
        <v>57</v>
      </c>
      <c r="C242" s="8" t="s">
        <v>25</v>
      </c>
      <c r="D242" s="8" t="s">
        <v>23</v>
      </c>
      <c r="E242" s="8" t="s">
        <v>199</v>
      </c>
      <c r="F242" s="63"/>
      <c r="G242" s="68">
        <f t="shared" si="35"/>
        <v>0</v>
      </c>
      <c r="H242" s="26">
        <f>H243+H244+H247+H248+H249+H246+H245</f>
        <v>6948.1</v>
      </c>
      <c r="I242" s="26">
        <f>I243+I244+I247+I248+I249+I246+I245</f>
        <v>6998.1</v>
      </c>
      <c r="J242" s="26">
        <f>J243+J244+J247+J248+J249+J246+J245</f>
        <v>6948.1</v>
      </c>
    </row>
    <row r="243" spans="1:10" s="5" customFormat="1" ht="15">
      <c r="A243" s="33" t="s">
        <v>208</v>
      </c>
      <c r="B243" s="8" t="s">
        <v>57</v>
      </c>
      <c r="C243" s="8" t="s">
        <v>25</v>
      </c>
      <c r="D243" s="8" t="s">
        <v>23</v>
      </c>
      <c r="E243" s="8" t="s">
        <v>199</v>
      </c>
      <c r="F243" s="8" t="s">
        <v>93</v>
      </c>
      <c r="G243" s="68">
        <f t="shared" si="35"/>
        <v>0</v>
      </c>
      <c r="H243" s="120">
        <v>4299.6</v>
      </c>
      <c r="I243" s="120">
        <v>4299.6</v>
      </c>
      <c r="J243" s="120">
        <v>4299.6</v>
      </c>
    </row>
    <row r="244" spans="1:10" s="5" customFormat="1" ht="30">
      <c r="A244" s="33" t="s">
        <v>104</v>
      </c>
      <c r="B244" s="8" t="s">
        <v>57</v>
      </c>
      <c r="C244" s="8" t="s">
        <v>25</v>
      </c>
      <c r="D244" s="8" t="s">
        <v>23</v>
      </c>
      <c r="E244" s="8" t="s">
        <v>199</v>
      </c>
      <c r="F244" s="8" t="s">
        <v>103</v>
      </c>
      <c r="G244" s="68">
        <f t="shared" si="35"/>
        <v>0</v>
      </c>
      <c r="H244" s="120">
        <v>50</v>
      </c>
      <c r="I244" s="120">
        <v>50</v>
      </c>
      <c r="J244" s="120">
        <v>50</v>
      </c>
    </row>
    <row r="245" spans="1:10" s="5" customFormat="1" ht="45" hidden="1">
      <c r="A245" s="33" t="s">
        <v>233</v>
      </c>
      <c r="B245" s="8" t="s">
        <v>60</v>
      </c>
      <c r="C245" s="8" t="s">
        <v>25</v>
      </c>
      <c r="D245" s="8" t="s">
        <v>23</v>
      </c>
      <c r="E245" s="8" t="s">
        <v>199</v>
      </c>
      <c r="F245" s="8" t="s">
        <v>232</v>
      </c>
      <c r="G245" s="68">
        <f t="shared" si="35"/>
        <v>0</v>
      </c>
      <c r="H245" s="120"/>
      <c r="I245" s="120"/>
      <c r="J245" s="120"/>
    </row>
    <row r="246" spans="1:10" s="5" customFormat="1" ht="42.75" customHeight="1">
      <c r="A246" s="37" t="s">
        <v>209</v>
      </c>
      <c r="B246" s="8" t="s">
        <v>57</v>
      </c>
      <c r="C246" s="8" t="s">
        <v>25</v>
      </c>
      <c r="D246" s="8" t="s">
        <v>23</v>
      </c>
      <c r="E246" s="8" t="s">
        <v>199</v>
      </c>
      <c r="F246" s="8" t="s">
        <v>133</v>
      </c>
      <c r="G246" s="68">
        <f t="shared" si="35"/>
        <v>0</v>
      </c>
      <c r="H246" s="120">
        <v>1298.5</v>
      </c>
      <c r="I246" s="120">
        <v>1298.5</v>
      </c>
      <c r="J246" s="120">
        <v>1298.5</v>
      </c>
    </row>
    <row r="247" spans="1:10" s="5" customFormat="1" ht="30">
      <c r="A247" s="33" t="s">
        <v>87</v>
      </c>
      <c r="B247" s="8" t="s">
        <v>57</v>
      </c>
      <c r="C247" s="8" t="s">
        <v>25</v>
      </c>
      <c r="D247" s="8" t="s">
        <v>23</v>
      </c>
      <c r="E247" s="8" t="s">
        <v>199</v>
      </c>
      <c r="F247" s="63" t="s">
        <v>86</v>
      </c>
      <c r="G247" s="68">
        <f t="shared" si="35"/>
        <v>0</v>
      </c>
      <c r="H247" s="120">
        <v>1100</v>
      </c>
      <c r="I247" s="120">
        <v>1150</v>
      </c>
      <c r="J247" s="120">
        <v>1100</v>
      </c>
    </row>
    <row r="248" spans="1:10" s="5" customFormat="1" ht="20.25" customHeight="1">
      <c r="A248" s="73" t="s">
        <v>108</v>
      </c>
      <c r="B248" s="8" t="s">
        <v>57</v>
      </c>
      <c r="C248" s="8" t="s">
        <v>25</v>
      </c>
      <c r="D248" s="8" t="s">
        <v>23</v>
      </c>
      <c r="E248" s="8" t="s">
        <v>199</v>
      </c>
      <c r="F248" s="63" t="s">
        <v>106</v>
      </c>
      <c r="G248" s="68">
        <f t="shared" si="35"/>
        <v>0</v>
      </c>
      <c r="H248" s="26">
        <v>200</v>
      </c>
      <c r="I248" s="120">
        <v>200</v>
      </c>
      <c r="J248" s="26">
        <v>200</v>
      </c>
    </row>
    <row r="249" spans="1:10" s="5" customFormat="1" ht="15" hidden="1">
      <c r="A249" s="73" t="s">
        <v>109</v>
      </c>
      <c r="B249" s="8" t="s">
        <v>60</v>
      </c>
      <c r="C249" s="8" t="s">
        <v>25</v>
      </c>
      <c r="D249" s="8" t="s">
        <v>23</v>
      </c>
      <c r="E249" s="8" t="s">
        <v>199</v>
      </c>
      <c r="F249" s="63" t="s">
        <v>107</v>
      </c>
      <c r="G249" s="68">
        <f t="shared" si="35"/>
        <v>0</v>
      </c>
      <c r="H249" s="26"/>
      <c r="I249" s="26"/>
      <c r="J249" s="26"/>
    </row>
    <row r="250" spans="1:10" s="5" customFormat="1" ht="28.5">
      <c r="A250" s="126" t="s">
        <v>256</v>
      </c>
      <c r="B250" s="20" t="s">
        <v>57</v>
      </c>
      <c r="C250" s="20" t="s">
        <v>25</v>
      </c>
      <c r="D250" s="20" t="s">
        <v>43</v>
      </c>
      <c r="E250" s="8"/>
      <c r="F250" s="64"/>
      <c r="G250" s="68">
        <f t="shared" si="35"/>
        <v>0</v>
      </c>
      <c r="H250" s="26">
        <f aca="true" t="shared" si="36" ref="H250:J252">H251</f>
        <v>10</v>
      </c>
      <c r="I250" s="26">
        <f t="shared" si="36"/>
        <v>10</v>
      </c>
      <c r="J250" s="26">
        <f t="shared" si="36"/>
        <v>10</v>
      </c>
    </row>
    <row r="251" spans="1:10" s="5" customFormat="1" ht="42.75">
      <c r="A251" s="139" t="s">
        <v>332</v>
      </c>
      <c r="B251" s="18" t="s">
        <v>57</v>
      </c>
      <c r="C251" s="8" t="s">
        <v>25</v>
      </c>
      <c r="D251" s="8" t="s">
        <v>43</v>
      </c>
      <c r="E251" s="18" t="s">
        <v>174</v>
      </c>
      <c r="F251" s="14"/>
      <c r="G251" s="68">
        <f t="shared" si="35"/>
        <v>0</v>
      </c>
      <c r="H251" s="26">
        <f t="shared" si="36"/>
        <v>10</v>
      </c>
      <c r="I251" s="26">
        <f t="shared" si="36"/>
        <v>10</v>
      </c>
      <c r="J251" s="26">
        <f t="shared" si="36"/>
        <v>10</v>
      </c>
    </row>
    <row r="252" spans="1:10" s="5" customFormat="1" ht="30">
      <c r="A252" s="37" t="s">
        <v>235</v>
      </c>
      <c r="B252" s="18" t="s">
        <v>57</v>
      </c>
      <c r="C252" s="8" t="s">
        <v>25</v>
      </c>
      <c r="D252" s="8" t="s">
        <v>43</v>
      </c>
      <c r="E252" s="18" t="s">
        <v>175</v>
      </c>
      <c r="F252" s="14"/>
      <c r="G252" s="68">
        <f t="shared" si="35"/>
        <v>0</v>
      </c>
      <c r="H252" s="26">
        <f t="shared" si="36"/>
        <v>10</v>
      </c>
      <c r="I252" s="26">
        <f t="shared" si="36"/>
        <v>10</v>
      </c>
      <c r="J252" s="26">
        <f t="shared" si="36"/>
        <v>10</v>
      </c>
    </row>
    <row r="253" spans="1:10" s="5" customFormat="1" ht="30">
      <c r="A253" s="37" t="s">
        <v>87</v>
      </c>
      <c r="B253" s="18" t="s">
        <v>57</v>
      </c>
      <c r="C253" s="8" t="s">
        <v>25</v>
      </c>
      <c r="D253" s="8" t="s">
        <v>43</v>
      </c>
      <c r="E253" s="18" t="s">
        <v>175</v>
      </c>
      <c r="F253" s="14" t="s">
        <v>86</v>
      </c>
      <c r="G253" s="68">
        <f t="shared" si="35"/>
        <v>0</v>
      </c>
      <c r="H253" s="26">
        <v>10</v>
      </c>
      <c r="I253" s="26">
        <v>10</v>
      </c>
      <c r="J253" s="26">
        <v>10</v>
      </c>
    </row>
    <row r="254" spans="1:10" s="9" customFormat="1" ht="16.5" customHeight="1">
      <c r="A254" s="124" t="s">
        <v>29</v>
      </c>
      <c r="B254" s="7" t="s">
        <v>57</v>
      </c>
      <c r="C254" s="7" t="s">
        <v>25</v>
      </c>
      <c r="D254" s="7" t="s">
        <v>25</v>
      </c>
      <c r="E254" s="7"/>
      <c r="F254" s="7"/>
      <c r="G254" s="68">
        <f aca="true" t="shared" si="37" ref="G254:G259">H254-J254</f>
        <v>0</v>
      </c>
      <c r="H254" s="25">
        <f>H255</f>
        <v>987.6</v>
      </c>
      <c r="I254" s="25">
        <f>I255</f>
        <v>987.6</v>
      </c>
      <c r="J254" s="25">
        <f>J255</f>
        <v>987.6</v>
      </c>
    </row>
    <row r="255" spans="1:10" s="9" customFormat="1" ht="47.25">
      <c r="A255" s="130" t="s">
        <v>333</v>
      </c>
      <c r="B255" s="18" t="s">
        <v>57</v>
      </c>
      <c r="C255" s="18" t="s">
        <v>25</v>
      </c>
      <c r="D255" s="23" t="s">
        <v>25</v>
      </c>
      <c r="E255" s="14" t="s">
        <v>142</v>
      </c>
      <c r="F255" s="14"/>
      <c r="G255" s="68">
        <f t="shared" si="37"/>
        <v>0</v>
      </c>
      <c r="H255" s="27">
        <f>H256+H258</f>
        <v>987.6</v>
      </c>
      <c r="I255" s="27">
        <f>I256+I258</f>
        <v>987.6</v>
      </c>
      <c r="J255" s="27">
        <f>J256+J258</f>
        <v>987.6</v>
      </c>
    </row>
    <row r="256" spans="1:10" s="9" customFormat="1" ht="75">
      <c r="A256" s="49" t="s">
        <v>125</v>
      </c>
      <c r="B256" s="18" t="s">
        <v>57</v>
      </c>
      <c r="C256" s="18" t="s">
        <v>25</v>
      </c>
      <c r="D256" s="23" t="s">
        <v>25</v>
      </c>
      <c r="E256" s="14" t="s">
        <v>173</v>
      </c>
      <c r="F256" s="14"/>
      <c r="G256" s="68">
        <f t="shared" si="37"/>
        <v>0</v>
      </c>
      <c r="H256" s="27">
        <f>H257</f>
        <v>50</v>
      </c>
      <c r="I256" s="27">
        <f>I257</f>
        <v>50</v>
      </c>
      <c r="J256" s="27">
        <f>J257</f>
        <v>50</v>
      </c>
    </row>
    <row r="257" spans="1:10" s="9" customFormat="1" ht="30">
      <c r="A257" s="33" t="s">
        <v>87</v>
      </c>
      <c r="B257" s="18" t="s">
        <v>57</v>
      </c>
      <c r="C257" s="18" t="s">
        <v>25</v>
      </c>
      <c r="D257" s="23" t="s">
        <v>25</v>
      </c>
      <c r="E257" s="14" t="s">
        <v>173</v>
      </c>
      <c r="F257" s="14" t="s">
        <v>86</v>
      </c>
      <c r="G257" s="68">
        <f t="shared" si="37"/>
        <v>0</v>
      </c>
      <c r="H257" s="27">
        <v>50</v>
      </c>
      <c r="I257" s="27">
        <v>50</v>
      </c>
      <c r="J257" s="27">
        <v>50</v>
      </c>
    </row>
    <row r="258" spans="1:10" s="9" customFormat="1" ht="48.75" customHeight="1">
      <c r="A258" s="49" t="s">
        <v>307</v>
      </c>
      <c r="B258" s="18" t="s">
        <v>57</v>
      </c>
      <c r="C258" s="18" t="s">
        <v>25</v>
      </c>
      <c r="D258" s="18" t="s">
        <v>25</v>
      </c>
      <c r="E258" s="18" t="s">
        <v>342</v>
      </c>
      <c r="F258" s="18"/>
      <c r="G258" s="68">
        <f t="shared" si="37"/>
        <v>0</v>
      </c>
      <c r="H258" s="27">
        <f>H259</f>
        <v>937.6</v>
      </c>
      <c r="I258" s="27">
        <f>I259</f>
        <v>937.6</v>
      </c>
      <c r="J258" s="27">
        <f>J259</f>
        <v>937.6</v>
      </c>
    </row>
    <row r="259" spans="1:10" s="9" customFormat="1" ht="30">
      <c r="A259" s="33" t="s">
        <v>87</v>
      </c>
      <c r="B259" s="18" t="s">
        <v>57</v>
      </c>
      <c r="C259" s="18" t="s">
        <v>25</v>
      </c>
      <c r="D259" s="18" t="s">
        <v>25</v>
      </c>
      <c r="E259" s="18" t="s">
        <v>342</v>
      </c>
      <c r="F259" s="18" t="s">
        <v>86</v>
      </c>
      <c r="G259" s="68">
        <f t="shared" si="37"/>
        <v>0</v>
      </c>
      <c r="H259" s="27">
        <v>937.6</v>
      </c>
      <c r="I259" s="27">
        <v>937.6</v>
      </c>
      <c r="J259" s="27">
        <v>937.6</v>
      </c>
    </row>
    <row r="260" spans="1:10" s="9" customFormat="1" ht="15.75" customHeight="1">
      <c r="A260" s="124" t="s">
        <v>67</v>
      </c>
      <c r="B260" s="7" t="s">
        <v>57</v>
      </c>
      <c r="C260" s="7" t="s">
        <v>31</v>
      </c>
      <c r="D260" s="11"/>
      <c r="E260" s="11"/>
      <c r="F260" s="11"/>
      <c r="G260" s="68">
        <f aca="true" t="shared" si="38" ref="G260:G298">H260-J260</f>
        <v>0</v>
      </c>
      <c r="H260" s="25">
        <f>H261</f>
        <v>6115.3</v>
      </c>
      <c r="I260" s="25">
        <f>I261</f>
        <v>6215.3</v>
      </c>
      <c r="J260" s="25">
        <f>J261</f>
        <v>6115.3</v>
      </c>
    </row>
    <row r="261" spans="1:10" s="9" customFormat="1" ht="14.25">
      <c r="A261" s="124" t="s">
        <v>32</v>
      </c>
      <c r="B261" s="7" t="s">
        <v>57</v>
      </c>
      <c r="C261" s="7" t="s">
        <v>31</v>
      </c>
      <c r="D261" s="7" t="s">
        <v>22</v>
      </c>
      <c r="E261" s="7"/>
      <c r="F261" s="7"/>
      <c r="G261" s="68">
        <f t="shared" si="38"/>
        <v>0</v>
      </c>
      <c r="H261" s="25">
        <f>H267+H275+H278+H285+H262</f>
        <v>6115.3</v>
      </c>
      <c r="I261" s="25">
        <f>I267+I275+I278+I285+I262</f>
        <v>6215.3</v>
      </c>
      <c r="J261" s="25">
        <f>J267+J275+J278+J285+J262</f>
        <v>6115.3</v>
      </c>
    </row>
    <row r="262" spans="1:10" s="9" customFormat="1" ht="45" customHeight="1" hidden="1">
      <c r="A262" s="114" t="s">
        <v>318</v>
      </c>
      <c r="B262" s="18" t="s">
        <v>57</v>
      </c>
      <c r="C262" s="18" t="s">
        <v>31</v>
      </c>
      <c r="D262" s="18" t="s">
        <v>22</v>
      </c>
      <c r="E262" s="18" t="s">
        <v>251</v>
      </c>
      <c r="F262" s="18"/>
      <c r="G262" s="68">
        <f t="shared" si="38"/>
        <v>0</v>
      </c>
      <c r="H262" s="27">
        <f aca="true" t="shared" si="39" ref="H262:J265">H263</f>
        <v>0</v>
      </c>
      <c r="I262" s="27">
        <f t="shared" si="39"/>
        <v>0</v>
      </c>
      <c r="J262" s="27">
        <f t="shared" si="39"/>
        <v>0</v>
      </c>
    </row>
    <row r="263" spans="1:10" s="9" customFormat="1" ht="45" hidden="1">
      <c r="A263" s="158" t="s">
        <v>249</v>
      </c>
      <c r="B263" s="18" t="s">
        <v>57</v>
      </c>
      <c r="C263" s="18" t="s">
        <v>31</v>
      </c>
      <c r="D263" s="18" t="s">
        <v>22</v>
      </c>
      <c r="E263" s="18" t="s">
        <v>252</v>
      </c>
      <c r="F263" s="18"/>
      <c r="G263" s="68">
        <f t="shared" si="38"/>
        <v>0</v>
      </c>
      <c r="H263" s="27">
        <f t="shared" si="39"/>
        <v>0</v>
      </c>
      <c r="I263" s="27">
        <f t="shared" si="39"/>
        <v>0</v>
      </c>
      <c r="J263" s="27">
        <f t="shared" si="39"/>
        <v>0</v>
      </c>
    </row>
    <row r="264" spans="1:10" s="9" customFormat="1" ht="30" hidden="1">
      <c r="A264" s="159" t="s">
        <v>250</v>
      </c>
      <c r="B264" s="18" t="s">
        <v>57</v>
      </c>
      <c r="C264" s="18" t="s">
        <v>31</v>
      </c>
      <c r="D264" s="18" t="s">
        <v>22</v>
      </c>
      <c r="E264" s="18" t="s">
        <v>253</v>
      </c>
      <c r="F264" s="18"/>
      <c r="G264" s="68">
        <f t="shared" si="38"/>
        <v>0</v>
      </c>
      <c r="H264" s="27">
        <f t="shared" si="39"/>
        <v>0</v>
      </c>
      <c r="I264" s="27">
        <f t="shared" si="39"/>
        <v>0</v>
      </c>
      <c r="J264" s="27">
        <f t="shared" si="39"/>
        <v>0</v>
      </c>
    </row>
    <row r="265" spans="1:10" s="9" customFormat="1" ht="15" hidden="1">
      <c r="A265" s="49" t="s">
        <v>122</v>
      </c>
      <c r="B265" s="18" t="s">
        <v>57</v>
      </c>
      <c r="C265" s="18" t="s">
        <v>31</v>
      </c>
      <c r="D265" s="18" t="s">
        <v>22</v>
      </c>
      <c r="E265" s="18" t="s">
        <v>254</v>
      </c>
      <c r="F265" s="18"/>
      <c r="G265" s="68">
        <f t="shared" si="38"/>
        <v>0</v>
      </c>
      <c r="H265" s="27">
        <f t="shared" si="39"/>
        <v>0</v>
      </c>
      <c r="I265" s="27">
        <f t="shared" si="39"/>
        <v>0</v>
      </c>
      <c r="J265" s="27">
        <f t="shared" si="39"/>
        <v>0</v>
      </c>
    </row>
    <row r="266" spans="1:10" s="9" customFormat="1" ht="15" hidden="1">
      <c r="A266" s="71" t="s">
        <v>73</v>
      </c>
      <c r="B266" s="18" t="s">
        <v>57</v>
      </c>
      <c r="C266" s="18" t="s">
        <v>31</v>
      </c>
      <c r="D266" s="18" t="s">
        <v>22</v>
      </c>
      <c r="E266" s="18" t="s">
        <v>254</v>
      </c>
      <c r="F266" s="18" t="s">
        <v>72</v>
      </c>
      <c r="G266" s="68">
        <f t="shared" si="38"/>
        <v>0</v>
      </c>
      <c r="H266" s="27"/>
      <c r="I266" s="27"/>
      <c r="J266" s="27"/>
    </row>
    <row r="267" spans="1:10" s="5" customFormat="1" ht="57">
      <c r="A267" s="82" t="s">
        <v>379</v>
      </c>
      <c r="B267" s="8" t="s">
        <v>57</v>
      </c>
      <c r="C267" s="8" t="s">
        <v>31</v>
      </c>
      <c r="D267" s="8" t="s">
        <v>22</v>
      </c>
      <c r="E267" s="8" t="s">
        <v>176</v>
      </c>
      <c r="F267" s="8"/>
      <c r="G267" s="68">
        <f t="shared" si="38"/>
        <v>0</v>
      </c>
      <c r="H267" s="26">
        <f>H268</f>
        <v>628.3000000000001</v>
      </c>
      <c r="I267" s="26">
        <f>I268</f>
        <v>648.3000000000001</v>
      </c>
      <c r="J267" s="26">
        <f>J268</f>
        <v>628.3000000000001</v>
      </c>
    </row>
    <row r="268" spans="1:10" s="5" customFormat="1" ht="30">
      <c r="A268" s="49" t="s">
        <v>238</v>
      </c>
      <c r="B268" s="8" t="s">
        <v>57</v>
      </c>
      <c r="C268" s="8" t="s">
        <v>31</v>
      </c>
      <c r="D268" s="8" t="s">
        <v>22</v>
      </c>
      <c r="E268" s="8" t="s">
        <v>177</v>
      </c>
      <c r="F268" s="8"/>
      <c r="G268" s="68">
        <f aca="true" t="shared" si="40" ref="G268:G275">H268-J268</f>
        <v>0</v>
      </c>
      <c r="H268" s="26">
        <f>H269+H272+H270+H274+H271+H273</f>
        <v>628.3000000000001</v>
      </c>
      <c r="I268" s="26">
        <f>I269+I272+I270+I274+I271+I273</f>
        <v>648.3000000000001</v>
      </c>
      <c r="J268" s="26">
        <f>J269+J272+J270+J274+J271+J273</f>
        <v>628.3000000000001</v>
      </c>
    </row>
    <row r="269" spans="1:10" s="5" customFormat="1" ht="16.5" customHeight="1">
      <c r="A269" s="33" t="s">
        <v>208</v>
      </c>
      <c r="B269" s="8" t="s">
        <v>57</v>
      </c>
      <c r="C269" s="8" t="s">
        <v>31</v>
      </c>
      <c r="D269" s="8" t="s">
        <v>22</v>
      </c>
      <c r="E269" s="8" t="s">
        <v>177</v>
      </c>
      <c r="F269" s="8" t="s">
        <v>93</v>
      </c>
      <c r="G269" s="68">
        <f t="shared" si="40"/>
        <v>0</v>
      </c>
      <c r="H269" s="26">
        <v>382.7</v>
      </c>
      <c r="I269" s="26">
        <v>382.7</v>
      </c>
      <c r="J269" s="26">
        <v>382.7</v>
      </c>
    </row>
    <row r="270" spans="1:10" s="5" customFormat="1" ht="29.25" customHeight="1" hidden="1">
      <c r="A270" s="33" t="s">
        <v>104</v>
      </c>
      <c r="B270" s="8" t="s">
        <v>57</v>
      </c>
      <c r="C270" s="8" t="s">
        <v>31</v>
      </c>
      <c r="D270" s="8" t="s">
        <v>22</v>
      </c>
      <c r="E270" s="8" t="s">
        <v>177</v>
      </c>
      <c r="F270" s="8" t="s">
        <v>103</v>
      </c>
      <c r="G270" s="68">
        <f t="shared" si="40"/>
        <v>0</v>
      </c>
      <c r="H270" s="26"/>
      <c r="I270" s="26"/>
      <c r="J270" s="26"/>
    </row>
    <row r="271" spans="1:10" s="5" customFormat="1" ht="48" customHeight="1">
      <c r="A271" s="37" t="s">
        <v>209</v>
      </c>
      <c r="B271" s="8" t="s">
        <v>57</v>
      </c>
      <c r="C271" s="8" t="s">
        <v>31</v>
      </c>
      <c r="D271" s="8" t="s">
        <v>22</v>
      </c>
      <c r="E271" s="8" t="s">
        <v>177</v>
      </c>
      <c r="F271" s="8" t="s">
        <v>133</v>
      </c>
      <c r="G271" s="68">
        <f t="shared" si="40"/>
        <v>0</v>
      </c>
      <c r="H271" s="26">
        <v>115.6</v>
      </c>
      <c r="I271" s="26">
        <v>115.6</v>
      </c>
      <c r="J271" s="26">
        <v>115.6</v>
      </c>
    </row>
    <row r="272" spans="1:10" s="5" customFormat="1" ht="34.5" customHeight="1">
      <c r="A272" s="33" t="s">
        <v>87</v>
      </c>
      <c r="B272" s="8" t="s">
        <v>57</v>
      </c>
      <c r="C272" s="8" t="s">
        <v>31</v>
      </c>
      <c r="D272" s="8" t="s">
        <v>22</v>
      </c>
      <c r="E272" s="8" t="s">
        <v>177</v>
      </c>
      <c r="F272" s="63" t="s">
        <v>86</v>
      </c>
      <c r="G272" s="68">
        <f t="shared" si="40"/>
        <v>0</v>
      </c>
      <c r="H272" s="26">
        <v>130</v>
      </c>
      <c r="I272" s="26">
        <v>150</v>
      </c>
      <c r="J272" s="26">
        <v>130</v>
      </c>
    </row>
    <row r="273" spans="1:10" s="5" customFormat="1" ht="18.75" customHeight="1" hidden="1">
      <c r="A273" s="66" t="s">
        <v>108</v>
      </c>
      <c r="B273" s="8" t="s">
        <v>57</v>
      </c>
      <c r="C273" s="8" t="s">
        <v>31</v>
      </c>
      <c r="D273" s="8" t="s">
        <v>22</v>
      </c>
      <c r="E273" s="8" t="s">
        <v>177</v>
      </c>
      <c r="F273" s="63" t="s">
        <v>106</v>
      </c>
      <c r="G273" s="68">
        <f t="shared" si="40"/>
        <v>0</v>
      </c>
      <c r="H273" s="26"/>
      <c r="I273" s="26"/>
      <c r="J273" s="26"/>
    </row>
    <row r="274" spans="1:10" s="5" customFormat="1" ht="15" hidden="1">
      <c r="A274" s="73" t="s">
        <v>109</v>
      </c>
      <c r="B274" s="8" t="s">
        <v>57</v>
      </c>
      <c r="C274" s="8" t="s">
        <v>31</v>
      </c>
      <c r="D274" s="8" t="s">
        <v>22</v>
      </c>
      <c r="E274" s="8" t="s">
        <v>177</v>
      </c>
      <c r="F274" s="63" t="s">
        <v>107</v>
      </c>
      <c r="G274" s="68">
        <f t="shared" si="40"/>
        <v>0</v>
      </c>
      <c r="H274" s="26"/>
      <c r="I274" s="26"/>
      <c r="J274" s="26"/>
    </row>
    <row r="275" spans="1:10" s="5" customFormat="1" ht="71.25" customHeight="1">
      <c r="A275" s="121" t="s">
        <v>322</v>
      </c>
      <c r="B275" s="23" t="s">
        <v>57</v>
      </c>
      <c r="C275" s="18" t="s">
        <v>31</v>
      </c>
      <c r="D275" s="18" t="s">
        <v>22</v>
      </c>
      <c r="E275" s="18" t="s">
        <v>178</v>
      </c>
      <c r="F275" s="63"/>
      <c r="G275" s="68">
        <f t="shared" si="40"/>
        <v>0</v>
      </c>
      <c r="H275" s="26">
        <f aca="true" t="shared" si="41" ref="H275:J276">H276</f>
        <v>3750</v>
      </c>
      <c r="I275" s="26">
        <f t="shared" si="41"/>
        <v>3800</v>
      </c>
      <c r="J275" s="26">
        <f t="shared" si="41"/>
        <v>3750</v>
      </c>
    </row>
    <row r="276" spans="1:10" s="5" customFormat="1" ht="15">
      <c r="A276" s="49" t="s">
        <v>123</v>
      </c>
      <c r="B276" s="8" t="s">
        <v>57</v>
      </c>
      <c r="C276" s="8" t="s">
        <v>31</v>
      </c>
      <c r="D276" s="8" t="s">
        <v>22</v>
      </c>
      <c r="E276" s="8" t="s">
        <v>179</v>
      </c>
      <c r="F276" s="8"/>
      <c r="G276" s="68">
        <f t="shared" si="38"/>
        <v>0</v>
      </c>
      <c r="H276" s="26">
        <f t="shared" si="41"/>
        <v>3750</v>
      </c>
      <c r="I276" s="26">
        <f t="shared" si="41"/>
        <v>3800</v>
      </c>
      <c r="J276" s="26">
        <f t="shared" si="41"/>
        <v>3750</v>
      </c>
    </row>
    <row r="277" spans="1:10" s="5" customFormat="1" ht="63" customHeight="1">
      <c r="A277" s="71" t="s">
        <v>94</v>
      </c>
      <c r="B277" s="8" t="s">
        <v>57</v>
      </c>
      <c r="C277" s="8" t="s">
        <v>31</v>
      </c>
      <c r="D277" s="8" t="s">
        <v>22</v>
      </c>
      <c r="E277" s="8" t="s">
        <v>179</v>
      </c>
      <c r="F277" s="8" t="s">
        <v>70</v>
      </c>
      <c r="G277" s="68">
        <f t="shared" si="38"/>
        <v>0</v>
      </c>
      <c r="H277" s="26">
        <v>3750</v>
      </c>
      <c r="I277" s="26">
        <v>3800</v>
      </c>
      <c r="J277" s="26">
        <v>3750</v>
      </c>
    </row>
    <row r="278" spans="1:10" s="5" customFormat="1" ht="42.75">
      <c r="A278" s="121" t="s">
        <v>323</v>
      </c>
      <c r="B278" s="115" t="s">
        <v>57</v>
      </c>
      <c r="C278" s="8" t="s">
        <v>31</v>
      </c>
      <c r="D278" s="8" t="s">
        <v>22</v>
      </c>
      <c r="E278" s="8" t="s">
        <v>180</v>
      </c>
      <c r="F278" s="8"/>
      <c r="G278" s="68">
        <f t="shared" si="38"/>
        <v>0</v>
      </c>
      <c r="H278" s="26">
        <f>H279</f>
        <v>1737</v>
      </c>
      <c r="I278" s="26">
        <f>I279</f>
        <v>1767</v>
      </c>
      <c r="J278" s="26">
        <f>J279</f>
        <v>1737</v>
      </c>
    </row>
    <row r="279" spans="1:10" s="5" customFormat="1" ht="30">
      <c r="A279" s="49" t="s">
        <v>236</v>
      </c>
      <c r="B279" s="8" t="s">
        <v>57</v>
      </c>
      <c r="C279" s="8" t="s">
        <v>31</v>
      </c>
      <c r="D279" s="8" t="s">
        <v>22</v>
      </c>
      <c r="E279" s="8" t="s">
        <v>181</v>
      </c>
      <c r="F279" s="8"/>
      <c r="G279" s="68">
        <f t="shared" si="38"/>
        <v>0</v>
      </c>
      <c r="H279" s="26">
        <f>H280+H281+H283+H284+H282</f>
        <v>1737</v>
      </c>
      <c r="I279" s="26">
        <f>I280+I281+I283+I284+I282</f>
        <v>1767</v>
      </c>
      <c r="J279" s="26">
        <f>J280+J281+J283+J284+J282</f>
        <v>1737</v>
      </c>
    </row>
    <row r="280" spans="1:10" s="5" customFormat="1" ht="15">
      <c r="A280" s="33" t="s">
        <v>208</v>
      </c>
      <c r="B280" s="8" t="s">
        <v>57</v>
      </c>
      <c r="C280" s="8" t="s">
        <v>31</v>
      </c>
      <c r="D280" s="8" t="s">
        <v>22</v>
      </c>
      <c r="E280" s="8" t="s">
        <v>181</v>
      </c>
      <c r="F280" s="8" t="s">
        <v>93</v>
      </c>
      <c r="G280" s="68">
        <f t="shared" si="38"/>
        <v>0</v>
      </c>
      <c r="H280" s="26">
        <v>1257.3</v>
      </c>
      <c r="I280" s="26">
        <v>1257.3</v>
      </c>
      <c r="J280" s="26">
        <v>1257.3</v>
      </c>
    </row>
    <row r="281" spans="1:10" s="5" customFormat="1" ht="30" hidden="1">
      <c r="A281" s="33" t="s">
        <v>104</v>
      </c>
      <c r="B281" s="8" t="s">
        <v>57</v>
      </c>
      <c r="C281" s="8" t="s">
        <v>31</v>
      </c>
      <c r="D281" s="8" t="s">
        <v>22</v>
      </c>
      <c r="E281" s="8" t="s">
        <v>181</v>
      </c>
      <c r="F281" s="8" t="s">
        <v>103</v>
      </c>
      <c r="G281" s="68">
        <f t="shared" si="38"/>
        <v>0</v>
      </c>
      <c r="H281" s="26"/>
      <c r="I281" s="26"/>
      <c r="J281" s="26"/>
    </row>
    <row r="282" spans="1:10" s="5" customFormat="1" ht="44.25" customHeight="1">
      <c r="A282" s="37" t="s">
        <v>209</v>
      </c>
      <c r="B282" s="8" t="s">
        <v>57</v>
      </c>
      <c r="C282" s="8" t="s">
        <v>31</v>
      </c>
      <c r="D282" s="8" t="s">
        <v>22</v>
      </c>
      <c r="E282" s="8" t="s">
        <v>181</v>
      </c>
      <c r="F282" s="8" t="s">
        <v>133</v>
      </c>
      <c r="G282" s="68">
        <f t="shared" si="38"/>
        <v>0</v>
      </c>
      <c r="H282" s="26">
        <v>379.7</v>
      </c>
      <c r="I282" s="26">
        <v>379.7</v>
      </c>
      <c r="J282" s="26">
        <v>379.7</v>
      </c>
    </row>
    <row r="283" spans="1:10" s="5" customFormat="1" ht="30">
      <c r="A283" s="33" t="s">
        <v>87</v>
      </c>
      <c r="B283" s="8" t="s">
        <v>57</v>
      </c>
      <c r="C283" s="8" t="s">
        <v>31</v>
      </c>
      <c r="D283" s="8" t="s">
        <v>22</v>
      </c>
      <c r="E283" s="8" t="s">
        <v>181</v>
      </c>
      <c r="F283" s="63" t="s">
        <v>86</v>
      </c>
      <c r="G283" s="68">
        <f t="shared" si="38"/>
        <v>0</v>
      </c>
      <c r="H283" s="26">
        <v>100</v>
      </c>
      <c r="I283" s="26">
        <v>130</v>
      </c>
      <c r="J283" s="26">
        <v>100</v>
      </c>
    </row>
    <row r="284" spans="1:10" s="5" customFormat="1" ht="15" hidden="1">
      <c r="A284" s="73" t="s">
        <v>109</v>
      </c>
      <c r="B284" s="8" t="s">
        <v>57</v>
      </c>
      <c r="C284" s="8" t="s">
        <v>31</v>
      </c>
      <c r="D284" s="8" t="s">
        <v>22</v>
      </c>
      <c r="E284" s="8" t="s">
        <v>181</v>
      </c>
      <c r="F284" s="63" t="s">
        <v>107</v>
      </c>
      <c r="G284" s="68">
        <f t="shared" si="38"/>
        <v>0</v>
      </c>
      <c r="H284" s="26"/>
      <c r="I284" s="26"/>
      <c r="J284" s="26"/>
    </row>
    <row r="285" spans="1:10" s="5" customFormat="1" ht="15" hidden="1">
      <c r="A285" s="33" t="s">
        <v>92</v>
      </c>
      <c r="B285" s="23" t="s">
        <v>57</v>
      </c>
      <c r="C285" s="23" t="s">
        <v>31</v>
      </c>
      <c r="D285" s="23" t="s">
        <v>22</v>
      </c>
      <c r="E285" s="23" t="s">
        <v>140</v>
      </c>
      <c r="F285" s="8"/>
      <c r="G285" s="68">
        <f t="shared" si="38"/>
        <v>0</v>
      </c>
      <c r="H285" s="26">
        <f aca="true" t="shared" si="42" ref="H285:J286">H286</f>
        <v>0</v>
      </c>
      <c r="I285" s="26">
        <f t="shared" si="42"/>
        <v>0</v>
      </c>
      <c r="J285" s="26">
        <f t="shared" si="42"/>
        <v>0</v>
      </c>
    </row>
    <row r="286" spans="1:10" s="5" customFormat="1" ht="60" hidden="1">
      <c r="A286" s="52" t="s">
        <v>95</v>
      </c>
      <c r="B286" s="8" t="s">
        <v>57</v>
      </c>
      <c r="C286" s="8" t="s">
        <v>31</v>
      </c>
      <c r="D286" s="8" t="s">
        <v>22</v>
      </c>
      <c r="E286" s="8" t="s">
        <v>182</v>
      </c>
      <c r="F286" s="8"/>
      <c r="G286" s="68">
        <f t="shared" si="38"/>
        <v>0</v>
      </c>
      <c r="H286" s="26">
        <f t="shared" si="42"/>
        <v>0</v>
      </c>
      <c r="I286" s="26">
        <f t="shared" si="42"/>
        <v>0</v>
      </c>
      <c r="J286" s="26">
        <f t="shared" si="42"/>
        <v>0</v>
      </c>
    </row>
    <row r="287" spans="1:10" s="5" customFormat="1" ht="30" hidden="1">
      <c r="A287" s="33" t="s">
        <v>87</v>
      </c>
      <c r="B287" s="8" t="s">
        <v>57</v>
      </c>
      <c r="C287" s="8" t="s">
        <v>31</v>
      </c>
      <c r="D287" s="8" t="s">
        <v>22</v>
      </c>
      <c r="E287" s="8" t="s">
        <v>182</v>
      </c>
      <c r="F287" s="8" t="s">
        <v>86</v>
      </c>
      <c r="G287" s="68">
        <f t="shared" si="38"/>
        <v>0</v>
      </c>
      <c r="H287" s="26"/>
      <c r="I287" s="26"/>
      <c r="J287" s="26"/>
    </row>
    <row r="288" spans="1:10" s="16" customFormat="1" ht="14.25">
      <c r="A288" s="81" t="s">
        <v>34</v>
      </c>
      <c r="B288" s="20" t="s">
        <v>57</v>
      </c>
      <c r="C288" s="20" t="s">
        <v>33</v>
      </c>
      <c r="D288" s="20"/>
      <c r="E288" s="20"/>
      <c r="F288" s="20"/>
      <c r="G288" s="68">
        <f t="shared" si="38"/>
        <v>0</v>
      </c>
      <c r="H288" s="24">
        <f>H289+H293+H302+H310</f>
        <v>24430.9</v>
      </c>
      <c r="I288" s="24">
        <f>I289+I293+I302+I310</f>
        <v>24440.9</v>
      </c>
      <c r="J288" s="24">
        <f>J289+J293+J302+J310</f>
        <v>24430.9</v>
      </c>
    </row>
    <row r="289" spans="1:10" s="16" customFormat="1" ht="14.25">
      <c r="A289" s="75" t="s">
        <v>12</v>
      </c>
      <c r="B289" s="15" t="s">
        <v>57</v>
      </c>
      <c r="C289" s="15" t="s">
        <v>33</v>
      </c>
      <c r="D289" s="15" t="s">
        <v>22</v>
      </c>
      <c r="E289" s="15"/>
      <c r="F289" s="15"/>
      <c r="G289" s="68">
        <f t="shared" si="38"/>
        <v>0</v>
      </c>
      <c r="H289" s="24">
        <f>H291</f>
        <v>1224</v>
      </c>
      <c r="I289" s="24">
        <f>I291</f>
        <v>1224</v>
      </c>
      <c r="J289" s="24">
        <f>J291</f>
        <v>1224</v>
      </c>
    </row>
    <row r="290" spans="1:10" s="16" customFormat="1" ht="15">
      <c r="A290" s="33" t="s">
        <v>92</v>
      </c>
      <c r="B290" s="23" t="s">
        <v>57</v>
      </c>
      <c r="C290" s="23" t="s">
        <v>33</v>
      </c>
      <c r="D290" s="23" t="s">
        <v>22</v>
      </c>
      <c r="E290" s="23" t="s">
        <v>140</v>
      </c>
      <c r="F290" s="23"/>
      <c r="G290" s="68">
        <f t="shared" si="38"/>
        <v>0</v>
      </c>
      <c r="H290" s="27">
        <f aca="true" t="shared" si="43" ref="H290:J291">H291</f>
        <v>1224</v>
      </c>
      <c r="I290" s="27">
        <f t="shared" si="43"/>
        <v>1224</v>
      </c>
      <c r="J290" s="27">
        <f t="shared" si="43"/>
        <v>1224</v>
      </c>
    </row>
    <row r="291" spans="1:10" s="5" customFormat="1" ht="30">
      <c r="A291" s="52" t="s">
        <v>13</v>
      </c>
      <c r="B291" s="14" t="s">
        <v>57</v>
      </c>
      <c r="C291" s="23" t="s">
        <v>33</v>
      </c>
      <c r="D291" s="23" t="s">
        <v>22</v>
      </c>
      <c r="E291" s="14" t="s">
        <v>184</v>
      </c>
      <c r="F291" s="14"/>
      <c r="G291" s="68">
        <f t="shared" si="38"/>
        <v>0</v>
      </c>
      <c r="H291" s="26">
        <f t="shared" si="43"/>
        <v>1224</v>
      </c>
      <c r="I291" s="26">
        <f t="shared" si="43"/>
        <v>1224</v>
      </c>
      <c r="J291" s="26">
        <f t="shared" si="43"/>
        <v>1224</v>
      </c>
    </row>
    <row r="292" spans="1:10" s="5" customFormat="1" ht="15">
      <c r="A292" s="49" t="s">
        <v>100</v>
      </c>
      <c r="B292" s="14" t="s">
        <v>57</v>
      </c>
      <c r="C292" s="23" t="s">
        <v>33</v>
      </c>
      <c r="D292" s="23" t="s">
        <v>22</v>
      </c>
      <c r="E292" s="14" t="s">
        <v>184</v>
      </c>
      <c r="F292" s="14" t="s">
        <v>99</v>
      </c>
      <c r="G292" s="68">
        <f t="shared" si="38"/>
        <v>0</v>
      </c>
      <c r="H292" s="26">
        <v>1224</v>
      </c>
      <c r="I292" s="26">
        <v>1224</v>
      </c>
      <c r="J292" s="26">
        <v>1224</v>
      </c>
    </row>
    <row r="293" spans="1:10" s="16" customFormat="1" ht="14.25">
      <c r="A293" s="126" t="s">
        <v>56</v>
      </c>
      <c r="B293" s="15" t="s">
        <v>57</v>
      </c>
      <c r="C293" s="15" t="s">
        <v>33</v>
      </c>
      <c r="D293" s="15" t="s">
        <v>23</v>
      </c>
      <c r="E293" s="15"/>
      <c r="F293" s="15"/>
      <c r="G293" s="68">
        <f t="shared" si="38"/>
        <v>0</v>
      </c>
      <c r="H293" s="24">
        <f>H294</f>
        <v>17027.7</v>
      </c>
      <c r="I293" s="24">
        <f>I294</f>
        <v>17027.7</v>
      </c>
      <c r="J293" s="24">
        <f>J294</f>
        <v>17027.7</v>
      </c>
    </row>
    <row r="294" spans="1:11" s="16" customFormat="1" ht="15">
      <c r="A294" s="33" t="s">
        <v>92</v>
      </c>
      <c r="B294" s="23" t="s">
        <v>57</v>
      </c>
      <c r="C294" s="23" t="s">
        <v>33</v>
      </c>
      <c r="D294" s="23" t="s">
        <v>23</v>
      </c>
      <c r="E294" s="23" t="s">
        <v>140</v>
      </c>
      <c r="F294" s="23"/>
      <c r="G294" s="68">
        <f t="shared" si="38"/>
        <v>0</v>
      </c>
      <c r="H294" s="27">
        <f>H299+H297+H295</f>
        <v>17027.7</v>
      </c>
      <c r="I294" s="27">
        <f>I299+I297+I295</f>
        <v>17027.7</v>
      </c>
      <c r="J294" s="27">
        <f>J299+J297+J295</f>
        <v>17027.7</v>
      </c>
      <c r="K294" s="32"/>
    </row>
    <row r="295" spans="1:10" s="5" customFormat="1" ht="75">
      <c r="A295" s="45" t="s">
        <v>308</v>
      </c>
      <c r="B295" s="8" t="s">
        <v>57</v>
      </c>
      <c r="C295" s="8" t="s">
        <v>33</v>
      </c>
      <c r="D295" s="8" t="s">
        <v>23</v>
      </c>
      <c r="E295" s="8" t="s">
        <v>201</v>
      </c>
      <c r="F295" s="8"/>
      <c r="G295" s="68">
        <f>H295-J295</f>
        <v>0</v>
      </c>
      <c r="H295" s="26">
        <f>H296</f>
        <v>3153.6</v>
      </c>
      <c r="I295" s="27">
        <f>I296</f>
        <v>3153.6</v>
      </c>
      <c r="J295" s="27">
        <f>J296</f>
        <v>3153.6</v>
      </c>
    </row>
    <row r="296" spans="1:10" s="5" customFormat="1" ht="30" customHeight="1">
      <c r="A296" s="71" t="s">
        <v>111</v>
      </c>
      <c r="B296" s="8" t="s">
        <v>57</v>
      </c>
      <c r="C296" s="8" t="s">
        <v>33</v>
      </c>
      <c r="D296" s="8" t="s">
        <v>23</v>
      </c>
      <c r="E296" s="8" t="s">
        <v>201</v>
      </c>
      <c r="F296" s="8" t="s">
        <v>110</v>
      </c>
      <c r="G296" s="68">
        <f>H296-J296</f>
        <v>0</v>
      </c>
      <c r="H296" s="26">
        <v>3153.6</v>
      </c>
      <c r="I296" s="26">
        <v>3153.6</v>
      </c>
      <c r="J296" s="27">
        <v>3153.6</v>
      </c>
    </row>
    <row r="297" spans="1:11" s="16" customFormat="1" ht="75">
      <c r="A297" s="44" t="s">
        <v>309</v>
      </c>
      <c r="B297" s="23" t="s">
        <v>57</v>
      </c>
      <c r="C297" s="23" t="s">
        <v>33</v>
      </c>
      <c r="D297" s="23" t="s">
        <v>23</v>
      </c>
      <c r="E297" s="23" t="s">
        <v>185</v>
      </c>
      <c r="F297" s="23"/>
      <c r="G297" s="68">
        <f t="shared" si="38"/>
        <v>0</v>
      </c>
      <c r="H297" s="27">
        <f>H298</f>
        <v>335.7</v>
      </c>
      <c r="I297" s="27">
        <f>I298</f>
        <v>335.7</v>
      </c>
      <c r="J297" s="27">
        <f>J298</f>
        <v>335.7</v>
      </c>
      <c r="K297" s="32"/>
    </row>
    <row r="298" spans="1:11" s="16" customFormat="1" ht="30">
      <c r="A298" s="44" t="s">
        <v>111</v>
      </c>
      <c r="B298" s="23" t="s">
        <v>57</v>
      </c>
      <c r="C298" s="23" t="s">
        <v>33</v>
      </c>
      <c r="D298" s="23" t="s">
        <v>23</v>
      </c>
      <c r="E298" s="23" t="s">
        <v>185</v>
      </c>
      <c r="F298" s="23" t="s">
        <v>110</v>
      </c>
      <c r="G298" s="68">
        <f t="shared" si="38"/>
        <v>0</v>
      </c>
      <c r="H298" s="27">
        <v>335.7</v>
      </c>
      <c r="I298" s="27">
        <v>335.7</v>
      </c>
      <c r="J298" s="27">
        <v>335.7</v>
      </c>
      <c r="K298" s="32"/>
    </row>
    <row r="299" spans="1:10" s="16" customFormat="1" ht="30">
      <c r="A299" s="52" t="s">
        <v>310</v>
      </c>
      <c r="B299" s="23" t="s">
        <v>57</v>
      </c>
      <c r="C299" s="23" t="s">
        <v>33</v>
      </c>
      <c r="D299" s="23" t="s">
        <v>23</v>
      </c>
      <c r="E299" s="23" t="s">
        <v>187</v>
      </c>
      <c r="F299" s="23"/>
      <c r="G299" s="68">
        <f>H299-J299</f>
        <v>0</v>
      </c>
      <c r="H299" s="27">
        <f>H300+H301</f>
        <v>13538.4</v>
      </c>
      <c r="I299" s="27">
        <f>I300+I301</f>
        <v>13538.4</v>
      </c>
      <c r="J299" s="27">
        <f>J300+J301</f>
        <v>13538.4</v>
      </c>
    </row>
    <row r="300" spans="1:10" s="16" customFormat="1" ht="30">
      <c r="A300" s="33" t="s">
        <v>87</v>
      </c>
      <c r="B300" s="23" t="s">
        <v>57</v>
      </c>
      <c r="C300" s="23" t="s">
        <v>33</v>
      </c>
      <c r="D300" s="23" t="s">
        <v>23</v>
      </c>
      <c r="E300" s="23" t="s">
        <v>187</v>
      </c>
      <c r="F300" s="23" t="s">
        <v>86</v>
      </c>
      <c r="G300" s="68">
        <f>H300-J300</f>
        <v>0</v>
      </c>
      <c r="H300" s="27">
        <v>150</v>
      </c>
      <c r="I300" s="27">
        <v>150</v>
      </c>
      <c r="J300" s="27">
        <v>150</v>
      </c>
    </row>
    <row r="301" spans="1:10" s="16" customFormat="1" ht="31.5" customHeight="1">
      <c r="A301" s="52" t="s">
        <v>111</v>
      </c>
      <c r="B301" s="23" t="s">
        <v>57</v>
      </c>
      <c r="C301" s="23" t="s">
        <v>33</v>
      </c>
      <c r="D301" s="23" t="s">
        <v>23</v>
      </c>
      <c r="E301" s="23" t="s">
        <v>187</v>
      </c>
      <c r="F301" s="23" t="s">
        <v>110</v>
      </c>
      <c r="G301" s="68">
        <f>H301-J301</f>
        <v>0</v>
      </c>
      <c r="H301" s="27">
        <v>13388.4</v>
      </c>
      <c r="I301" s="27">
        <v>13388.4</v>
      </c>
      <c r="J301" s="27">
        <v>13388.4</v>
      </c>
    </row>
    <row r="302" spans="1:10" s="5" customFormat="1" ht="15">
      <c r="A302" s="124" t="s">
        <v>71</v>
      </c>
      <c r="B302" s="7" t="s">
        <v>57</v>
      </c>
      <c r="C302" s="7" t="s">
        <v>33</v>
      </c>
      <c r="D302" s="7" t="s">
        <v>24</v>
      </c>
      <c r="E302" s="7"/>
      <c r="F302" s="7"/>
      <c r="G302" s="68">
        <f aca="true" t="shared" si="44" ref="G302:G323">H302-J302</f>
        <v>0</v>
      </c>
      <c r="H302" s="25">
        <f>H303</f>
        <v>4639.2</v>
      </c>
      <c r="I302" s="25">
        <f>I303</f>
        <v>4639.2</v>
      </c>
      <c r="J302" s="25">
        <f>J303</f>
        <v>4639.2</v>
      </c>
    </row>
    <row r="303" spans="1:10" s="5" customFormat="1" ht="15">
      <c r="A303" s="33" t="s">
        <v>92</v>
      </c>
      <c r="B303" s="8" t="s">
        <v>57</v>
      </c>
      <c r="C303" s="8" t="s">
        <v>33</v>
      </c>
      <c r="D303" s="8" t="s">
        <v>24</v>
      </c>
      <c r="E303" s="8" t="s">
        <v>140</v>
      </c>
      <c r="F303" s="8"/>
      <c r="G303" s="68">
        <f t="shared" si="44"/>
        <v>0</v>
      </c>
      <c r="H303" s="26">
        <f>H306+H308+H304</f>
        <v>4639.2</v>
      </c>
      <c r="I303" s="26">
        <f>I306+I308+I304</f>
        <v>4639.2</v>
      </c>
      <c r="J303" s="26">
        <f>J306+J308+J304</f>
        <v>4639.2</v>
      </c>
    </row>
    <row r="304" spans="1:10" s="5" customFormat="1" ht="64.5" customHeight="1">
      <c r="A304" s="45" t="s">
        <v>346</v>
      </c>
      <c r="B304" s="8" t="s">
        <v>57</v>
      </c>
      <c r="C304" s="8" t="s">
        <v>33</v>
      </c>
      <c r="D304" s="8" t="s">
        <v>24</v>
      </c>
      <c r="E304" s="8" t="s">
        <v>202</v>
      </c>
      <c r="F304" s="8"/>
      <c r="G304" s="68">
        <f t="shared" si="44"/>
        <v>0</v>
      </c>
      <c r="H304" s="27">
        <f>H305</f>
        <v>878.2</v>
      </c>
      <c r="I304" s="27">
        <f>I305</f>
        <v>878.2</v>
      </c>
      <c r="J304" s="27">
        <f>J305</f>
        <v>878.2</v>
      </c>
    </row>
    <row r="305" spans="1:10" s="5" customFormat="1" ht="30.75" customHeight="1">
      <c r="A305" s="71" t="s">
        <v>111</v>
      </c>
      <c r="B305" s="8" t="s">
        <v>57</v>
      </c>
      <c r="C305" s="8" t="s">
        <v>33</v>
      </c>
      <c r="D305" s="8" t="s">
        <v>24</v>
      </c>
      <c r="E305" s="8" t="s">
        <v>202</v>
      </c>
      <c r="F305" s="8" t="s">
        <v>110</v>
      </c>
      <c r="G305" s="68">
        <f t="shared" si="44"/>
        <v>0</v>
      </c>
      <c r="H305" s="26">
        <v>878.2</v>
      </c>
      <c r="I305" s="27">
        <v>878.2</v>
      </c>
      <c r="J305" s="26">
        <v>878.2</v>
      </c>
    </row>
    <row r="306" spans="1:10" s="5" customFormat="1" ht="15">
      <c r="A306" s="45" t="s">
        <v>311</v>
      </c>
      <c r="B306" s="8" t="s">
        <v>57</v>
      </c>
      <c r="C306" s="8" t="s">
        <v>33</v>
      </c>
      <c r="D306" s="8" t="s">
        <v>24</v>
      </c>
      <c r="E306" s="8" t="s">
        <v>203</v>
      </c>
      <c r="F306" s="8"/>
      <c r="G306" s="68">
        <f t="shared" si="44"/>
        <v>0</v>
      </c>
      <c r="H306" s="26">
        <f>H307</f>
        <v>2468</v>
      </c>
      <c r="I306" s="26">
        <f>I307</f>
        <v>2468</v>
      </c>
      <c r="J306" s="26">
        <f>J307</f>
        <v>2468</v>
      </c>
    </row>
    <row r="307" spans="1:10" s="5" customFormat="1" ht="30">
      <c r="A307" s="71" t="s">
        <v>111</v>
      </c>
      <c r="B307" s="8" t="s">
        <v>57</v>
      </c>
      <c r="C307" s="8" t="s">
        <v>33</v>
      </c>
      <c r="D307" s="8" t="s">
        <v>24</v>
      </c>
      <c r="E307" s="8" t="s">
        <v>203</v>
      </c>
      <c r="F307" s="8" t="s">
        <v>110</v>
      </c>
      <c r="G307" s="68">
        <f t="shared" si="44"/>
        <v>0</v>
      </c>
      <c r="H307" s="26">
        <v>2468</v>
      </c>
      <c r="I307" s="26">
        <v>2468</v>
      </c>
      <c r="J307" s="26">
        <v>2468</v>
      </c>
    </row>
    <row r="308" spans="1:10" s="5" customFormat="1" ht="45.75" customHeight="1">
      <c r="A308" s="132" t="s">
        <v>312</v>
      </c>
      <c r="B308" s="8" t="s">
        <v>57</v>
      </c>
      <c r="C308" s="8" t="s">
        <v>33</v>
      </c>
      <c r="D308" s="8" t="s">
        <v>24</v>
      </c>
      <c r="E308" s="8" t="s">
        <v>204</v>
      </c>
      <c r="F308" s="8"/>
      <c r="G308" s="68">
        <f t="shared" si="44"/>
        <v>0</v>
      </c>
      <c r="H308" s="26">
        <f>H309</f>
        <v>1293</v>
      </c>
      <c r="I308" s="26">
        <f>I309</f>
        <v>1293</v>
      </c>
      <c r="J308" s="26">
        <f>J309</f>
        <v>1293</v>
      </c>
    </row>
    <row r="309" spans="1:10" s="5" customFormat="1" ht="30.75" customHeight="1">
      <c r="A309" s="37" t="s">
        <v>241</v>
      </c>
      <c r="B309" s="8" t="s">
        <v>57</v>
      </c>
      <c r="C309" s="8" t="s">
        <v>33</v>
      </c>
      <c r="D309" s="8" t="s">
        <v>24</v>
      </c>
      <c r="E309" s="8" t="s">
        <v>204</v>
      </c>
      <c r="F309" s="8" t="s">
        <v>242</v>
      </c>
      <c r="G309" s="68">
        <f t="shared" si="44"/>
        <v>0</v>
      </c>
      <c r="H309" s="26">
        <v>1293</v>
      </c>
      <c r="I309" s="26">
        <v>1293</v>
      </c>
      <c r="J309" s="26">
        <v>1293</v>
      </c>
    </row>
    <row r="310" spans="1:10" s="16" customFormat="1" ht="14.25">
      <c r="A310" s="135" t="s">
        <v>271</v>
      </c>
      <c r="B310" s="15" t="s">
        <v>33</v>
      </c>
      <c r="C310" s="15" t="s">
        <v>35</v>
      </c>
      <c r="D310" s="15"/>
      <c r="E310" s="15"/>
      <c r="F310" s="15"/>
      <c r="G310" s="68">
        <f t="shared" si="44"/>
        <v>0</v>
      </c>
      <c r="H310" s="24">
        <f>H311+H319</f>
        <v>1540</v>
      </c>
      <c r="I310" s="24">
        <f>I311+I319</f>
        <v>1550</v>
      </c>
      <c r="J310" s="24">
        <f>J311+J319</f>
        <v>1540</v>
      </c>
    </row>
    <row r="311" spans="1:10" s="5" customFormat="1" ht="56.25" customHeight="1">
      <c r="A311" s="138" t="s">
        <v>313</v>
      </c>
      <c r="B311" s="18" t="s">
        <v>57</v>
      </c>
      <c r="C311" s="23" t="s">
        <v>33</v>
      </c>
      <c r="D311" s="23" t="s">
        <v>35</v>
      </c>
      <c r="E311" s="18" t="s">
        <v>143</v>
      </c>
      <c r="F311" s="18"/>
      <c r="G311" s="68">
        <f t="shared" si="44"/>
        <v>0</v>
      </c>
      <c r="H311" s="26">
        <f aca="true" t="shared" si="45" ref="H311:J312">H312</f>
        <v>40</v>
      </c>
      <c r="I311" s="26">
        <f t="shared" si="45"/>
        <v>50</v>
      </c>
      <c r="J311" s="26">
        <f t="shared" si="45"/>
        <v>40</v>
      </c>
    </row>
    <row r="312" spans="1:10" s="5" customFormat="1" ht="30.75" customHeight="1">
      <c r="A312" s="44" t="s">
        <v>349</v>
      </c>
      <c r="B312" s="18" t="s">
        <v>57</v>
      </c>
      <c r="C312" s="23" t="s">
        <v>33</v>
      </c>
      <c r="D312" s="23" t="s">
        <v>35</v>
      </c>
      <c r="E312" s="8" t="s">
        <v>350</v>
      </c>
      <c r="F312" s="18"/>
      <c r="G312" s="68">
        <f t="shared" si="44"/>
        <v>0</v>
      </c>
      <c r="H312" s="26">
        <f t="shared" si="45"/>
        <v>40</v>
      </c>
      <c r="I312" s="26">
        <f t="shared" si="45"/>
        <v>50</v>
      </c>
      <c r="J312" s="26">
        <f t="shared" si="45"/>
        <v>40</v>
      </c>
    </row>
    <row r="313" spans="1:10" s="5" customFormat="1" ht="30.75" customHeight="1">
      <c r="A313" s="44" t="s">
        <v>351</v>
      </c>
      <c r="B313" s="18" t="s">
        <v>57</v>
      </c>
      <c r="C313" s="23" t="s">
        <v>33</v>
      </c>
      <c r="D313" s="23" t="s">
        <v>35</v>
      </c>
      <c r="E313" s="8" t="s">
        <v>352</v>
      </c>
      <c r="F313" s="18"/>
      <c r="G313" s="68">
        <f t="shared" si="44"/>
        <v>0</v>
      </c>
      <c r="H313" s="26">
        <f>H316+H314</f>
        <v>40</v>
      </c>
      <c r="I313" s="26">
        <f>I316+I314</f>
        <v>50</v>
      </c>
      <c r="J313" s="26">
        <f>J316+J314</f>
        <v>40</v>
      </c>
    </row>
    <row r="314" spans="1:10" s="5" customFormat="1" ht="17.25" customHeight="1">
      <c r="A314" s="52" t="s">
        <v>115</v>
      </c>
      <c r="B314" s="18" t="s">
        <v>57</v>
      </c>
      <c r="C314" s="23" t="s">
        <v>33</v>
      </c>
      <c r="D314" s="23" t="s">
        <v>35</v>
      </c>
      <c r="E314" s="8" t="s">
        <v>370</v>
      </c>
      <c r="F314" s="18"/>
      <c r="G314" s="68">
        <f t="shared" si="44"/>
        <v>0</v>
      </c>
      <c r="H314" s="26">
        <f>H315</f>
        <v>40</v>
      </c>
      <c r="I314" s="26">
        <f>I315</f>
        <v>50</v>
      </c>
      <c r="J314" s="26">
        <f>J315</f>
        <v>40</v>
      </c>
    </row>
    <row r="315" spans="1:10" s="5" customFormat="1" ht="30.75" customHeight="1">
      <c r="A315" s="37" t="s">
        <v>87</v>
      </c>
      <c r="B315" s="18" t="s">
        <v>57</v>
      </c>
      <c r="C315" s="23" t="s">
        <v>33</v>
      </c>
      <c r="D315" s="23" t="s">
        <v>35</v>
      </c>
      <c r="E315" s="8" t="s">
        <v>370</v>
      </c>
      <c r="F315" s="18" t="s">
        <v>86</v>
      </c>
      <c r="G315" s="68">
        <f t="shared" si="44"/>
        <v>0</v>
      </c>
      <c r="H315" s="26">
        <v>40</v>
      </c>
      <c r="I315" s="26">
        <v>50</v>
      </c>
      <c r="J315" s="26">
        <v>40</v>
      </c>
    </row>
    <row r="316" spans="1:10" s="5" customFormat="1" ht="30.75" customHeight="1" hidden="1">
      <c r="A316" s="44" t="s">
        <v>353</v>
      </c>
      <c r="B316" s="18" t="s">
        <v>57</v>
      </c>
      <c r="C316" s="23" t="s">
        <v>33</v>
      </c>
      <c r="D316" s="23" t="s">
        <v>35</v>
      </c>
      <c r="E316" s="8" t="s">
        <v>354</v>
      </c>
      <c r="F316" s="18"/>
      <c r="G316" s="68">
        <f t="shared" si="44"/>
        <v>0</v>
      </c>
      <c r="H316" s="26">
        <f>H317+H318</f>
        <v>0</v>
      </c>
      <c r="I316" s="26">
        <f>I317+I318</f>
        <v>0</v>
      </c>
      <c r="J316" s="26">
        <f>J317+J318</f>
        <v>0</v>
      </c>
    </row>
    <row r="317" spans="1:10" s="5" customFormat="1" ht="30.75" customHeight="1" hidden="1">
      <c r="A317" s="37" t="s">
        <v>87</v>
      </c>
      <c r="B317" s="18" t="s">
        <v>57</v>
      </c>
      <c r="C317" s="23" t="s">
        <v>33</v>
      </c>
      <c r="D317" s="23" t="s">
        <v>35</v>
      </c>
      <c r="E317" s="8" t="s">
        <v>354</v>
      </c>
      <c r="F317" s="18" t="s">
        <v>86</v>
      </c>
      <c r="G317" s="68">
        <f t="shared" si="44"/>
        <v>0</v>
      </c>
      <c r="H317" s="26"/>
      <c r="I317" s="26"/>
      <c r="J317" s="26"/>
    </row>
    <row r="318" spans="1:10" s="5" customFormat="1" ht="15" hidden="1">
      <c r="A318" s="77" t="s">
        <v>73</v>
      </c>
      <c r="B318" s="18" t="s">
        <v>57</v>
      </c>
      <c r="C318" s="23" t="s">
        <v>33</v>
      </c>
      <c r="D318" s="23" t="s">
        <v>35</v>
      </c>
      <c r="E318" s="8" t="s">
        <v>354</v>
      </c>
      <c r="F318" s="18" t="s">
        <v>72</v>
      </c>
      <c r="G318" s="68">
        <f t="shared" si="44"/>
        <v>0</v>
      </c>
      <c r="H318" s="26"/>
      <c r="I318" s="26"/>
      <c r="J318" s="26"/>
    </row>
    <row r="319" spans="1:10" s="5" customFormat="1" ht="30.75" customHeight="1">
      <c r="A319" s="44" t="s">
        <v>310</v>
      </c>
      <c r="B319" s="23" t="s">
        <v>57</v>
      </c>
      <c r="C319" s="23" t="s">
        <v>33</v>
      </c>
      <c r="D319" s="23" t="s">
        <v>35</v>
      </c>
      <c r="E319" s="23" t="s">
        <v>187</v>
      </c>
      <c r="F319" s="23"/>
      <c r="G319" s="68">
        <f t="shared" si="44"/>
        <v>0</v>
      </c>
      <c r="H319" s="26">
        <f>H320+H321+H322+H323</f>
        <v>1500</v>
      </c>
      <c r="I319" s="26">
        <f>I320+I321+I322+I323</f>
        <v>1500</v>
      </c>
      <c r="J319" s="26">
        <f>J320+J321+J322+J323</f>
        <v>1500</v>
      </c>
    </row>
    <row r="320" spans="1:10" s="5" customFormat="1" ht="19.5" customHeight="1">
      <c r="A320" s="44" t="s">
        <v>205</v>
      </c>
      <c r="B320" s="23" t="s">
        <v>57</v>
      </c>
      <c r="C320" s="23" t="s">
        <v>33</v>
      </c>
      <c r="D320" s="23" t="s">
        <v>35</v>
      </c>
      <c r="E320" s="23" t="s">
        <v>187</v>
      </c>
      <c r="F320" s="23" t="s">
        <v>89</v>
      </c>
      <c r="G320" s="68">
        <f t="shared" si="44"/>
        <v>0</v>
      </c>
      <c r="H320" s="26">
        <v>645</v>
      </c>
      <c r="I320" s="26">
        <v>645</v>
      </c>
      <c r="J320" s="26">
        <v>645</v>
      </c>
    </row>
    <row r="321" spans="1:10" s="5" customFormat="1" ht="30.75" customHeight="1" hidden="1">
      <c r="A321" s="44" t="s">
        <v>102</v>
      </c>
      <c r="B321" s="23" t="s">
        <v>57</v>
      </c>
      <c r="C321" s="23" t="s">
        <v>33</v>
      </c>
      <c r="D321" s="23" t="s">
        <v>23</v>
      </c>
      <c r="E321" s="23" t="s">
        <v>187</v>
      </c>
      <c r="F321" s="23" t="s">
        <v>101</v>
      </c>
      <c r="G321" s="68">
        <f t="shared" si="44"/>
        <v>0</v>
      </c>
      <c r="H321" s="26"/>
      <c r="I321" s="26"/>
      <c r="J321" s="26"/>
    </row>
    <row r="322" spans="1:10" s="5" customFormat="1" ht="30.75" customHeight="1">
      <c r="A322" s="44" t="s">
        <v>186</v>
      </c>
      <c r="B322" s="23" t="s">
        <v>57</v>
      </c>
      <c r="C322" s="23" t="s">
        <v>33</v>
      </c>
      <c r="D322" s="23" t="s">
        <v>35</v>
      </c>
      <c r="E322" s="23" t="s">
        <v>187</v>
      </c>
      <c r="F322" s="23" t="s">
        <v>131</v>
      </c>
      <c r="G322" s="68">
        <f t="shared" si="44"/>
        <v>0</v>
      </c>
      <c r="H322" s="26">
        <v>195</v>
      </c>
      <c r="I322" s="26">
        <v>195</v>
      </c>
      <c r="J322" s="26">
        <v>195</v>
      </c>
    </row>
    <row r="323" spans="1:10" s="5" customFormat="1" ht="30.75" customHeight="1">
      <c r="A323" s="37" t="s">
        <v>87</v>
      </c>
      <c r="B323" s="23" t="s">
        <v>57</v>
      </c>
      <c r="C323" s="23" t="s">
        <v>33</v>
      </c>
      <c r="D323" s="23" t="s">
        <v>35</v>
      </c>
      <c r="E323" s="23" t="s">
        <v>187</v>
      </c>
      <c r="F323" s="23" t="s">
        <v>86</v>
      </c>
      <c r="G323" s="68">
        <f t="shared" si="44"/>
        <v>0</v>
      </c>
      <c r="H323" s="26">
        <v>660</v>
      </c>
      <c r="I323" s="26">
        <v>660</v>
      </c>
      <c r="J323" s="26">
        <v>660</v>
      </c>
    </row>
    <row r="324" spans="1:10" s="9" customFormat="1" ht="14.25">
      <c r="A324" s="81" t="s">
        <v>3</v>
      </c>
      <c r="B324" s="7" t="s">
        <v>57</v>
      </c>
      <c r="C324" s="7" t="s">
        <v>40</v>
      </c>
      <c r="D324" s="7"/>
      <c r="E324" s="7"/>
      <c r="F324" s="7"/>
      <c r="G324" s="68">
        <f aca="true" t="shared" si="46" ref="G324:G336">H324-J324</f>
        <v>0</v>
      </c>
      <c r="H324" s="25">
        <f aca="true" t="shared" si="47" ref="H324:J326">H325</f>
        <v>250</v>
      </c>
      <c r="I324" s="25">
        <f t="shared" si="47"/>
        <v>250</v>
      </c>
      <c r="J324" s="25">
        <f t="shared" si="47"/>
        <v>250</v>
      </c>
    </row>
    <row r="325" spans="1:10" s="9" customFormat="1" ht="14.25">
      <c r="A325" s="81" t="s">
        <v>64</v>
      </c>
      <c r="B325" s="7" t="s">
        <v>57</v>
      </c>
      <c r="C325" s="7" t="s">
        <v>40</v>
      </c>
      <c r="D325" s="7" t="s">
        <v>22</v>
      </c>
      <c r="E325" s="7"/>
      <c r="F325" s="7"/>
      <c r="G325" s="68">
        <f t="shared" si="46"/>
        <v>0</v>
      </c>
      <c r="H325" s="25">
        <f t="shared" si="47"/>
        <v>250</v>
      </c>
      <c r="I325" s="25">
        <f t="shared" si="47"/>
        <v>250</v>
      </c>
      <c r="J325" s="25">
        <f t="shared" si="47"/>
        <v>250</v>
      </c>
    </row>
    <row r="326" spans="1:10" s="5" customFormat="1" ht="31.5" customHeight="1">
      <c r="A326" s="121" t="s">
        <v>321</v>
      </c>
      <c r="B326" s="8" t="s">
        <v>57</v>
      </c>
      <c r="C326" s="8" t="s">
        <v>40</v>
      </c>
      <c r="D326" s="8" t="s">
        <v>22</v>
      </c>
      <c r="E326" s="8" t="s">
        <v>188</v>
      </c>
      <c r="F326" s="8"/>
      <c r="G326" s="68">
        <f>H326-J326</f>
        <v>0</v>
      </c>
      <c r="H326" s="26">
        <f>H327</f>
        <v>250</v>
      </c>
      <c r="I326" s="26">
        <f t="shared" si="47"/>
        <v>250</v>
      </c>
      <c r="J326" s="26">
        <f t="shared" si="47"/>
        <v>250</v>
      </c>
    </row>
    <row r="327" spans="1:10" s="5" customFormat="1" ht="18.75" customHeight="1">
      <c r="A327" s="79" t="s">
        <v>76</v>
      </c>
      <c r="B327" s="8" t="s">
        <v>57</v>
      </c>
      <c r="C327" s="8" t="s">
        <v>40</v>
      </c>
      <c r="D327" s="8" t="s">
        <v>22</v>
      </c>
      <c r="E327" s="8" t="s">
        <v>189</v>
      </c>
      <c r="F327" s="8"/>
      <c r="G327" s="68">
        <f>H327-J327</f>
        <v>0</v>
      </c>
      <c r="H327" s="26">
        <f>H329+H328</f>
        <v>250</v>
      </c>
      <c r="I327" s="26">
        <f>I329+I328</f>
        <v>250</v>
      </c>
      <c r="J327" s="26">
        <f>J329+J328</f>
        <v>250</v>
      </c>
    </row>
    <row r="328" spans="1:10" s="5" customFormat="1" ht="18.75" customHeight="1">
      <c r="A328" s="148" t="s">
        <v>233</v>
      </c>
      <c r="B328" s="8" t="s">
        <v>57</v>
      </c>
      <c r="C328" s="8" t="s">
        <v>40</v>
      </c>
      <c r="D328" s="8" t="s">
        <v>22</v>
      </c>
      <c r="E328" s="8" t="s">
        <v>189</v>
      </c>
      <c r="F328" s="8" t="s">
        <v>232</v>
      </c>
      <c r="G328" s="68">
        <f>H328-J328</f>
        <v>0</v>
      </c>
      <c r="H328" s="26">
        <v>140</v>
      </c>
      <c r="I328" s="26">
        <v>140</v>
      </c>
      <c r="J328" s="26">
        <v>140</v>
      </c>
    </row>
    <row r="329" spans="1:10" s="5" customFormat="1" ht="28.5" customHeight="1">
      <c r="A329" s="33" t="s">
        <v>87</v>
      </c>
      <c r="B329" s="8" t="s">
        <v>57</v>
      </c>
      <c r="C329" s="8" t="s">
        <v>40</v>
      </c>
      <c r="D329" s="8" t="s">
        <v>22</v>
      </c>
      <c r="E329" s="8" t="s">
        <v>189</v>
      </c>
      <c r="F329" s="8" t="s">
        <v>86</v>
      </c>
      <c r="G329" s="68">
        <f>H329-J329</f>
        <v>0</v>
      </c>
      <c r="H329" s="26">
        <v>110</v>
      </c>
      <c r="I329" s="26">
        <v>110</v>
      </c>
      <c r="J329" s="26">
        <v>110</v>
      </c>
    </row>
    <row r="330" spans="1:10" s="9" customFormat="1" ht="17.25" customHeight="1">
      <c r="A330" s="124" t="s">
        <v>65</v>
      </c>
      <c r="B330" s="7" t="s">
        <v>57</v>
      </c>
      <c r="C330" s="7" t="s">
        <v>51</v>
      </c>
      <c r="D330" s="11"/>
      <c r="E330" s="11"/>
      <c r="F330" s="11"/>
      <c r="G330" s="68">
        <f t="shared" si="46"/>
        <v>0</v>
      </c>
      <c r="H330" s="25">
        <f aca="true" t="shared" si="48" ref="H330:J331">H331</f>
        <v>300</v>
      </c>
      <c r="I330" s="25">
        <f t="shared" si="48"/>
        <v>300</v>
      </c>
      <c r="J330" s="25">
        <f t="shared" si="48"/>
        <v>300</v>
      </c>
    </row>
    <row r="331" spans="1:10" s="9" customFormat="1" ht="15.75" customHeight="1">
      <c r="A331" s="124" t="s">
        <v>47</v>
      </c>
      <c r="B331" s="7" t="s">
        <v>57</v>
      </c>
      <c r="C331" s="7" t="s">
        <v>51</v>
      </c>
      <c r="D331" s="7" t="s">
        <v>27</v>
      </c>
      <c r="E331" s="7"/>
      <c r="F331" s="7"/>
      <c r="G331" s="68">
        <f t="shared" si="46"/>
        <v>0</v>
      </c>
      <c r="H331" s="25">
        <f>H332</f>
        <v>300</v>
      </c>
      <c r="I331" s="25">
        <f>I332</f>
        <v>300</v>
      </c>
      <c r="J331" s="25">
        <f t="shared" si="48"/>
        <v>300</v>
      </c>
    </row>
    <row r="332" spans="1:10" s="5" customFormat="1" ht="16.5" customHeight="1">
      <c r="A332" s="37" t="s">
        <v>92</v>
      </c>
      <c r="B332" s="35" t="s">
        <v>57</v>
      </c>
      <c r="C332" s="8" t="s">
        <v>51</v>
      </c>
      <c r="D332" s="8" t="s">
        <v>27</v>
      </c>
      <c r="E332" s="8" t="s">
        <v>140</v>
      </c>
      <c r="F332" s="8"/>
      <c r="G332" s="68">
        <f t="shared" si="46"/>
        <v>0</v>
      </c>
      <c r="H332" s="26">
        <f>H334</f>
        <v>300</v>
      </c>
      <c r="I332" s="26">
        <f>I334</f>
        <v>300</v>
      </c>
      <c r="J332" s="26">
        <f>J334</f>
        <v>300</v>
      </c>
    </row>
    <row r="333" spans="1:10" s="5" customFormat="1" ht="30">
      <c r="A333" s="71" t="s">
        <v>215</v>
      </c>
      <c r="B333" s="8" t="s">
        <v>57</v>
      </c>
      <c r="C333" s="8" t="s">
        <v>51</v>
      </c>
      <c r="D333" s="8" t="s">
        <v>27</v>
      </c>
      <c r="E333" s="8" t="s">
        <v>216</v>
      </c>
      <c r="F333" s="8"/>
      <c r="G333" s="68">
        <f t="shared" si="46"/>
        <v>0</v>
      </c>
      <c r="H333" s="26">
        <f>H334</f>
        <v>300</v>
      </c>
      <c r="I333" s="26">
        <f>I334</f>
        <v>300</v>
      </c>
      <c r="J333" s="26">
        <f>J334</f>
        <v>300</v>
      </c>
    </row>
    <row r="334" spans="1:10" s="5" customFormat="1" ht="46.5" customHeight="1">
      <c r="A334" s="45" t="s">
        <v>75</v>
      </c>
      <c r="B334" s="8" t="s">
        <v>57</v>
      </c>
      <c r="C334" s="8" t="s">
        <v>51</v>
      </c>
      <c r="D334" s="8" t="s">
        <v>27</v>
      </c>
      <c r="E334" s="8" t="s">
        <v>216</v>
      </c>
      <c r="F334" s="8" t="s">
        <v>74</v>
      </c>
      <c r="G334" s="68">
        <f t="shared" si="46"/>
        <v>0</v>
      </c>
      <c r="H334" s="26">
        <v>300</v>
      </c>
      <c r="I334" s="26">
        <v>300</v>
      </c>
      <c r="J334" s="26">
        <v>300</v>
      </c>
    </row>
    <row r="335" spans="1:10" s="5" customFormat="1" ht="12.75" customHeight="1">
      <c r="A335" s="49"/>
      <c r="B335" s="8"/>
      <c r="C335" s="8"/>
      <c r="D335" s="8"/>
      <c r="E335" s="8"/>
      <c r="F335" s="8"/>
      <c r="G335" s="68">
        <f t="shared" si="46"/>
        <v>0</v>
      </c>
      <c r="H335" s="26"/>
      <c r="I335" s="26"/>
      <c r="J335" s="26"/>
    </row>
    <row r="336" spans="1:10" s="16" customFormat="1" ht="28.5">
      <c r="A336" s="50" t="s">
        <v>82</v>
      </c>
      <c r="B336" s="20" t="s">
        <v>80</v>
      </c>
      <c r="C336" s="20"/>
      <c r="D336" s="20"/>
      <c r="E336" s="20"/>
      <c r="F336" s="20"/>
      <c r="G336" s="68">
        <f t="shared" si="46"/>
        <v>0</v>
      </c>
      <c r="H336" s="24">
        <f aca="true" t="shared" si="49" ref="H336:J338">H337</f>
        <v>1080.6</v>
      </c>
      <c r="I336" s="24">
        <f t="shared" si="49"/>
        <v>1086.9</v>
      </c>
      <c r="J336" s="24">
        <f t="shared" si="49"/>
        <v>1080.6</v>
      </c>
    </row>
    <row r="337" spans="1:10" s="16" customFormat="1" ht="14.25">
      <c r="A337" s="123" t="s">
        <v>58</v>
      </c>
      <c r="B337" s="20" t="s">
        <v>80</v>
      </c>
      <c r="C337" s="15" t="s">
        <v>22</v>
      </c>
      <c r="D337" s="15"/>
      <c r="E337" s="15"/>
      <c r="F337" s="15"/>
      <c r="G337" s="68"/>
      <c r="H337" s="24">
        <f t="shared" si="49"/>
        <v>1080.6</v>
      </c>
      <c r="I337" s="24">
        <f t="shared" si="49"/>
        <v>1086.9</v>
      </c>
      <c r="J337" s="24">
        <f t="shared" si="49"/>
        <v>1080.6</v>
      </c>
    </row>
    <row r="338" spans="1:10" s="16" customFormat="1" ht="42.75" customHeight="1">
      <c r="A338" s="76" t="s">
        <v>11</v>
      </c>
      <c r="B338" s="20" t="s">
        <v>80</v>
      </c>
      <c r="C338" s="15" t="s">
        <v>22</v>
      </c>
      <c r="D338" s="15" t="s">
        <v>35</v>
      </c>
      <c r="E338" s="15"/>
      <c r="F338" s="15"/>
      <c r="G338" s="68">
        <f aca="true" t="shared" si="50" ref="G338:G349">H338-J338</f>
        <v>0</v>
      </c>
      <c r="H338" s="24">
        <f t="shared" si="49"/>
        <v>1080.6</v>
      </c>
      <c r="I338" s="24">
        <f t="shared" si="49"/>
        <v>1086.9</v>
      </c>
      <c r="J338" s="24">
        <f t="shared" si="49"/>
        <v>1080.6</v>
      </c>
    </row>
    <row r="339" spans="1:10" s="9" customFormat="1" ht="15.75" customHeight="1">
      <c r="A339" s="49" t="s">
        <v>91</v>
      </c>
      <c r="B339" s="8" t="s">
        <v>80</v>
      </c>
      <c r="C339" s="14" t="s">
        <v>22</v>
      </c>
      <c r="D339" s="14" t="s">
        <v>35</v>
      </c>
      <c r="E339" s="14" t="s">
        <v>134</v>
      </c>
      <c r="F339" s="14"/>
      <c r="G339" s="68">
        <f t="shared" si="50"/>
        <v>0</v>
      </c>
      <c r="H339" s="27">
        <f>H340+H347</f>
        <v>1080.6</v>
      </c>
      <c r="I339" s="27">
        <f>I340+I347</f>
        <v>1086.9</v>
      </c>
      <c r="J339" s="27">
        <f>J340+J347</f>
        <v>1080.6</v>
      </c>
    </row>
    <row r="340" spans="1:10" s="9" customFormat="1" ht="28.5" customHeight="1">
      <c r="A340" s="49" t="s">
        <v>84</v>
      </c>
      <c r="B340" s="8" t="s">
        <v>80</v>
      </c>
      <c r="C340" s="14" t="s">
        <v>22</v>
      </c>
      <c r="D340" s="14" t="s">
        <v>35</v>
      </c>
      <c r="E340" s="14" t="s">
        <v>135</v>
      </c>
      <c r="F340" s="14"/>
      <c r="G340" s="68">
        <f t="shared" si="50"/>
        <v>0</v>
      </c>
      <c r="H340" s="27">
        <f>H344+H345+H346+H342+H341+H343</f>
        <v>373.59999999999997</v>
      </c>
      <c r="I340" s="27">
        <f>I344+I345+I346+I342+I341+I343</f>
        <v>379.9</v>
      </c>
      <c r="J340" s="27">
        <f>J344+J345+J346+J342+J341+J343</f>
        <v>373.59999999999997</v>
      </c>
    </row>
    <row r="341" spans="1:10" s="9" customFormat="1" ht="21" customHeight="1">
      <c r="A341" s="44" t="s">
        <v>130</v>
      </c>
      <c r="B341" s="8" t="s">
        <v>80</v>
      </c>
      <c r="C341" s="14" t="s">
        <v>22</v>
      </c>
      <c r="D341" s="14" t="s">
        <v>35</v>
      </c>
      <c r="E341" s="14" t="s">
        <v>135</v>
      </c>
      <c r="F341" s="14" t="s">
        <v>89</v>
      </c>
      <c r="G341" s="68">
        <f t="shared" si="50"/>
        <v>0</v>
      </c>
      <c r="H341" s="27">
        <v>252.4</v>
      </c>
      <c r="I341" s="27">
        <v>252.4</v>
      </c>
      <c r="J341" s="27">
        <v>252.4</v>
      </c>
    </row>
    <row r="342" spans="1:10" s="9" customFormat="1" ht="28.5" customHeight="1">
      <c r="A342" s="45" t="s">
        <v>102</v>
      </c>
      <c r="B342" s="8" t="s">
        <v>80</v>
      </c>
      <c r="C342" s="14" t="s">
        <v>22</v>
      </c>
      <c r="D342" s="14" t="s">
        <v>35</v>
      </c>
      <c r="E342" s="14" t="s">
        <v>135</v>
      </c>
      <c r="F342" s="14" t="s">
        <v>101</v>
      </c>
      <c r="G342" s="68">
        <f t="shared" si="50"/>
        <v>0</v>
      </c>
      <c r="H342" s="27">
        <v>10</v>
      </c>
      <c r="I342" s="27">
        <v>11.3</v>
      </c>
      <c r="J342" s="27">
        <v>10</v>
      </c>
    </row>
    <row r="343" spans="1:10" s="9" customFormat="1" ht="28.5" customHeight="1">
      <c r="A343" s="44" t="s">
        <v>186</v>
      </c>
      <c r="B343" s="8" t="s">
        <v>80</v>
      </c>
      <c r="C343" s="14" t="s">
        <v>22</v>
      </c>
      <c r="D343" s="14" t="s">
        <v>35</v>
      </c>
      <c r="E343" s="14" t="s">
        <v>135</v>
      </c>
      <c r="F343" s="14" t="s">
        <v>131</v>
      </c>
      <c r="G343" s="68">
        <f t="shared" si="50"/>
        <v>0</v>
      </c>
      <c r="H343" s="27">
        <v>76.2</v>
      </c>
      <c r="I343" s="27">
        <v>76.2</v>
      </c>
      <c r="J343" s="27">
        <v>76.2</v>
      </c>
    </row>
    <row r="344" spans="1:10" s="9" customFormat="1" ht="30.75" customHeight="1">
      <c r="A344" s="49" t="s">
        <v>88</v>
      </c>
      <c r="B344" s="8" t="s">
        <v>80</v>
      </c>
      <c r="C344" s="14" t="s">
        <v>22</v>
      </c>
      <c r="D344" s="14" t="s">
        <v>35</v>
      </c>
      <c r="E344" s="14" t="s">
        <v>135</v>
      </c>
      <c r="F344" s="64" t="s">
        <v>86</v>
      </c>
      <c r="G344" s="68">
        <f t="shared" si="50"/>
        <v>0</v>
      </c>
      <c r="H344" s="27">
        <v>35</v>
      </c>
      <c r="I344" s="27">
        <v>40</v>
      </c>
      <c r="J344" s="27">
        <v>35</v>
      </c>
    </row>
    <row r="345" spans="1:10" s="9" customFormat="1" ht="18.75" customHeight="1" hidden="1">
      <c r="A345" s="73" t="s">
        <v>108</v>
      </c>
      <c r="B345" s="8" t="s">
        <v>80</v>
      </c>
      <c r="C345" s="14" t="s">
        <v>22</v>
      </c>
      <c r="D345" s="14" t="s">
        <v>35</v>
      </c>
      <c r="E345" s="14" t="s">
        <v>135</v>
      </c>
      <c r="F345" s="64" t="s">
        <v>106</v>
      </c>
      <c r="G345" s="68">
        <f t="shared" si="50"/>
        <v>0</v>
      </c>
      <c r="H345" s="27"/>
      <c r="I345" s="27"/>
      <c r="J345" s="27"/>
    </row>
    <row r="346" spans="1:10" s="9" customFormat="1" ht="18" customHeight="1" hidden="1">
      <c r="A346" s="49" t="s">
        <v>109</v>
      </c>
      <c r="B346" s="8" t="s">
        <v>80</v>
      </c>
      <c r="C346" s="14" t="s">
        <v>22</v>
      </c>
      <c r="D346" s="14" t="s">
        <v>35</v>
      </c>
      <c r="E346" s="14" t="s">
        <v>135</v>
      </c>
      <c r="F346" s="64" t="s">
        <v>107</v>
      </c>
      <c r="G346" s="68">
        <f t="shared" si="50"/>
        <v>0</v>
      </c>
      <c r="H346" s="27"/>
      <c r="I346" s="27"/>
      <c r="J346" s="27"/>
    </row>
    <row r="347" spans="1:10" s="9" customFormat="1" ht="30" customHeight="1">
      <c r="A347" s="72" t="s">
        <v>63</v>
      </c>
      <c r="B347" s="35" t="s">
        <v>80</v>
      </c>
      <c r="C347" s="14" t="s">
        <v>22</v>
      </c>
      <c r="D347" s="14" t="s">
        <v>35</v>
      </c>
      <c r="E347" s="14" t="s">
        <v>190</v>
      </c>
      <c r="F347" s="14"/>
      <c r="G347" s="68">
        <f t="shared" si="50"/>
        <v>0</v>
      </c>
      <c r="H347" s="27">
        <f>H348+H349</f>
        <v>707</v>
      </c>
      <c r="I347" s="27">
        <f>I348+I349</f>
        <v>707</v>
      </c>
      <c r="J347" s="27">
        <f>J348+J349</f>
        <v>707</v>
      </c>
    </row>
    <row r="348" spans="1:10" s="9" customFormat="1" ht="15.75" customHeight="1">
      <c r="A348" s="52" t="s">
        <v>130</v>
      </c>
      <c r="B348" s="35" t="s">
        <v>80</v>
      </c>
      <c r="C348" s="14" t="s">
        <v>22</v>
      </c>
      <c r="D348" s="14" t="s">
        <v>35</v>
      </c>
      <c r="E348" s="14" t="s">
        <v>190</v>
      </c>
      <c r="F348" s="14" t="s">
        <v>89</v>
      </c>
      <c r="G348" s="68">
        <f t="shared" si="50"/>
        <v>0</v>
      </c>
      <c r="H348" s="27">
        <v>543</v>
      </c>
      <c r="I348" s="27">
        <v>543</v>
      </c>
      <c r="J348" s="27">
        <v>543</v>
      </c>
    </row>
    <row r="349" spans="1:10" s="9" customFormat="1" ht="33" customHeight="1">
      <c r="A349" s="44" t="s">
        <v>186</v>
      </c>
      <c r="B349" s="35" t="s">
        <v>80</v>
      </c>
      <c r="C349" s="14" t="s">
        <v>22</v>
      </c>
      <c r="D349" s="14" t="s">
        <v>35</v>
      </c>
      <c r="E349" s="14" t="s">
        <v>190</v>
      </c>
      <c r="F349" s="14" t="s">
        <v>131</v>
      </c>
      <c r="G349" s="68">
        <f t="shared" si="50"/>
        <v>0</v>
      </c>
      <c r="H349" s="27">
        <v>164</v>
      </c>
      <c r="I349" s="27">
        <v>164</v>
      </c>
      <c r="J349" s="27">
        <v>164</v>
      </c>
    </row>
    <row r="350" spans="1:10" s="5" customFormat="1" ht="15">
      <c r="A350" s="10"/>
      <c r="B350" s="8"/>
      <c r="C350" s="8"/>
      <c r="D350" s="8"/>
      <c r="E350" s="8"/>
      <c r="F350" s="8"/>
      <c r="G350" s="68">
        <f>H350-J350</f>
        <v>0</v>
      </c>
      <c r="H350" s="38"/>
      <c r="I350" s="27"/>
      <c r="J350" s="38"/>
    </row>
    <row r="351" spans="1:11" s="1" customFormat="1" ht="14.25">
      <c r="A351" s="117" t="s">
        <v>49</v>
      </c>
      <c r="B351" s="43"/>
      <c r="C351" s="43"/>
      <c r="D351" s="43"/>
      <c r="E351" s="43"/>
      <c r="F351" s="43"/>
      <c r="G351" s="68">
        <f>H351-J351</f>
        <v>0</v>
      </c>
      <c r="H351" s="25">
        <f>H24+H12+H336</f>
        <v>264741.1</v>
      </c>
      <c r="I351" s="25">
        <f>I24+I12+I336</f>
        <v>266514.70000000007</v>
      </c>
      <c r="J351" s="25">
        <f>J24+J12+J336</f>
        <v>264741.1</v>
      </c>
      <c r="K351" s="1">
        <f>SUM(K24:K350)</f>
        <v>0</v>
      </c>
    </row>
    <row r="352" spans="1:10" s="1" customFormat="1" ht="15">
      <c r="A352" s="83"/>
      <c r="B352" s="30"/>
      <c r="C352" s="30"/>
      <c r="D352" s="30"/>
      <c r="E352" s="30"/>
      <c r="F352" s="30"/>
      <c r="G352" s="30"/>
      <c r="H352" s="13"/>
      <c r="I352" s="25"/>
      <c r="J352" s="13"/>
    </row>
    <row r="353" spans="1:10" s="1" customFormat="1" ht="15">
      <c r="A353" s="84"/>
      <c r="B353" s="30"/>
      <c r="C353" s="30"/>
      <c r="D353" s="30"/>
      <c r="E353" s="30"/>
      <c r="F353" s="30"/>
      <c r="G353" s="30"/>
      <c r="H353" s="13"/>
      <c r="I353" s="13"/>
      <c r="J353" s="60"/>
    </row>
    <row r="354" spans="1:10" s="1" customFormat="1" ht="15">
      <c r="A354" s="131" t="s">
        <v>4</v>
      </c>
      <c r="B354" s="30"/>
      <c r="C354" s="30"/>
      <c r="D354" s="30"/>
      <c r="E354" s="30"/>
      <c r="F354" s="30"/>
      <c r="G354" s="30"/>
      <c r="H354" s="70">
        <f>'2019'!H490*2.5%</f>
        <v>7081.691250000001</v>
      </c>
      <c r="I354" s="70">
        <f>H351*5%</f>
        <v>13237.055</v>
      </c>
      <c r="J354" s="61"/>
    </row>
    <row r="355" spans="1:9" s="1" customFormat="1" ht="15">
      <c r="A355" s="74" t="s">
        <v>5</v>
      </c>
      <c r="B355" s="5"/>
      <c r="C355" s="5"/>
      <c r="D355" s="5"/>
      <c r="E355" s="5"/>
      <c r="F355" s="5"/>
      <c r="G355" s="5"/>
      <c r="H355" s="34">
        <f>H351+H354</f>
        <v>271822.79124999995</v>
      </c>
      <c r="I355" s="34">
        <f>I351+I354</f>
        <v>279751.75500000006</v>
      </c>
    </row>
    <row r="356" spans="1:9" s="1" customFormat="1" ht="15">
      <c r="A356" s="74"/>
      <c r="B356" s="5"/>
      <c r="C356" s="5"/>
      <c r="D356" s="5"/>
      <c r="E356" s="5"/>
      <c r="F356" s="5"/>
      <c r="G356" s="5"/>
      <c r="I356" s="34"/>
    </row>
    <row r="357" spans="1:7" s="1" customFormat="1" ht="15">
      <c r="A357" s="74"/>
      <c r="B357" s="5"/>
      <c r="C357" s="5"/>
      <c r="D357" s="5"/>
      <c r="E357" s="5"/>
      <c r="F357" s="5"/>
      <c r="G357" s="5"/>
    </row>
    <row r="358" spans="1:10" s="1" customFormat="1" ht="15">
      <c r="A358" s="74"/>
      <c r="B358" s="5"/>
      <c r="C358" s="5"/>
      <c r="D358" s="5"/>
      <c r="E358" s="5"/>
      <c r="F358" s="42"/>
      <c r="G358" s="42"/>
      <c r="H358" s="2"/>
      <c r="J358" s="21"/>
    </row>
    <row r="359" ht="14.25">
      <c r="I35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a.kalmykov</cp:lastModifiedBy>
  <cp:lastPrinted>2019-07-15T07:53:42Z</cp:lastPrinted>
  <dcterms:created xsi:type="dcterms:W3CDTF">2004-12-07T12:58:26Z</dcterms:created>
  <dcterms:modified xsi:type="dcterms:W3CDTF">2019-10-28T09:07:40Z</dcterms:modified>
  <cp:category/>
  <cp:version/>
  <cp:contentType/>
  <cp:contentStatus/>
</cp:coreProperties>
</file>