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20-2022" sheetId="1" r:id="rId1"/>
  </sheets>
  <definedNames>
    <definedName name="_xlnm.Print_Area" localSheetId="0">'2020-2022'!$A$1:$I$563</definedName>
  </definedNames>
  <calcPr fullCalcOnLoad="1"/>
</workbook>
</file>

<file path=xl/sharedStrings.xml><?xml version="1.0" encoding="utf-8"?>
<sst xmlns="http://schemas.openxmlformats.org/spreadsheetml/2006/main" count="2466" uniqueCount="414">
  <si>
    <t>Наименование</t>
  </si>
  <si>
    <t>Раздел</t>
  </si>
  <si>
    <t>Подраздел</t>
  </si>
  <si>
    <t>ЦСР</t>
  </si>
  <si>
    <t>КВР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</si>
  <si>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</si>
  <si>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</si>
  <si>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</si>
  <si>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</si>
  <si>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</si>
  <si>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</si>
  <si>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</si>
  <si>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</si>
  <si>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</si>
  <si>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</si>
  <si>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Резервные фонды</t>
  </si>
  <si>
    <t>12</t>
  </si>
  <si>
    <t>Другие общегосударственные вопросы</t>
  </si>
  <si>
    <t>Оценка недвижимости, признание прав  и регулирование отношений по государственной  и муниципальной собственности</t>
  </si>
  <si>
    <t>Национальная безопасность и правоохранительная деятельность</t>
  </si>
  <si>
    <t>05</t>
  </si>
  <si>
    <t>09</t>
  </si>
  <si>
    <t>Другие вопросы в области национальной экономики</t>
  </si>
  <si>
    <t>Мероприятия по землеустройству и землепользованию</t>
  </si>
  <si>
    <t>Жилищно-коммунальное хозяйство</t>
  </si>
  <si>
    <t>Коммунальное хозяйство</t>
  </si>
  <si>
    <t>06</t>
  </si>
  <si>
    <t>Образование</t>
  </si>
  <si>
    <t>07</t>
  </si>
  <si>
    <t>Дошкольное образование</t>
  </si>
  <si>
    <t>Общее образование</t>
  </si>
  <si>
    <t>621</t>
  </si>
  <si>
    <t>Молодежная политика и оздоровление детей</t>
  </si>
  <si>
    <t>08</t>
  </si>
  <si>
    <t>Культура</t>
  </si>
  <si>
    <t>Периодическая печать и издательства</t>
  </si>
  <si>
    <t>Физическая культура и спорт</t>
  </si>
  <si>
    <t>10</t>
  </si>
  <si>
    <t>Социальная политика</t>
  </si>
  <si>
    <t>Социальное обеспечение населения</t>
  </si>
  <si>
    <t>ВСЕГО :</t>
  </si>
  <si>
    <t>(тыс.рублей)</t>
  </si>
  <si>
    <t>Судебная система</t>
  </si>
  <si>
    <t>Резервные фонды местных администраций</t>
  </si>
  <si>
    <t>Охрана семьи и детства</t>
  </si>
  <si>
    <t>Национальная экономика</t>
  </si>
  <si>
    <t>Дорожное хозяйство</t>
  </si>
  <si>
    <t>Доплаты к пенсиям государственных служащих субъектов Российской Федерации и муниципальных служащих</t>
  </si>
  <si>
    <t>Пенсионное обеспечение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</si>
  <si>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</si>
  <si>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 xml:space="preserve">Руководитель контрольно-счетной палаты муниципального образования </t>
  </si>
  <si>
    <t>13</t>
  </si>
  <si>
    <t xml:space="preserve">Культура и кинематография </t>
  </si>
  <si>
    <t>Средства массовой информации</t>
  </si>
  <si>
    <t xml:space="preserve">к решению Даниловского  районного 
Совета народных депутатов </t>
  </si>
  <si>
    <t>Сельское хозяйство и рыболовство</t>
  </si>
  <si>
    <t>Иные межбюджетные трансферты</t>
  </si>
  <si>
    <t>Субсидии автономным учреждениям на возмещение нормативных затрат, связанных с оказанием ими государственных (муниципальных) услуг</t>
  </si>
  <si>
    <t>611</t>
  </si>
  <si>
    <t>612</t>
  </si>
  <si>
    <t>Субсидии бюджетным учреждениям на иные цели</t>
  </si>
  <si>
    <t>112</t>
  </si>
  <si>
    <t>Обеспечение деятельности муниципальных органов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</si>
  <si>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</si>
  <si>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</si>
  <si>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Обеспечение выполнения функций муниципальными органами, казенными учреждениями</t>
  </si>
  <si>
    <t xml:space="preserve">Иные выплаты персоналу государственных (муниципальных) органов, за исключением фонда оплаты труда </t>
  </si>
  <si>
    <t>Прочая закупка товаров, работ и услуг для обеспечения муниципальных нужд</t>
  </si>
  <si>
    <t>122</t>
  </si>
  <si>
    <t>244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</si>
  <si>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</si>
  <si>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</si>
  <si>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Непрограммные расходы органов местного самоуправления</t>
  </si>
  <si>
    <t>851</t>
  </si>
  <si>
    <t>Мероприятия, направленные на улучшение жизни инвалидов</t>
  </si>
  <si>
    <t>Мероприятия по профилактике правонарушений</t>
  </si>
  <si>
    <t>Переподготовка и повышение квалификации</t>
  </si>
  <si>
    <t>Иные выплаты персоналу казенных учреждений, за исключением фонда оплаты труда</t>
  </si>
  <si>
    <t>Уплата прочих налогов, сборов и иных платежей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</si>
  <si>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</si>
  <si>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111</t>
  </si>
  <si>
    <t>852</t>
  </si>
  <si>
    <t>831</t>
  </si>
  <si>
    <t xml:space="preserve">Предупреждение и ликвидация последствий
чрезвычайных ситуаций и стихийных бедствий природного и техногенного характера
</t>
  </si>
  <si>
    <t>Субвенции на предупреждение и ликвидацию болезней животных, их лечение, защиту населения от болезней, общих для человека и животных, в части содержания скотомогильников (биотермических ям)</t>
  </si>
  <si>
    <t>6707028</t>
  </si>
  <si>
    <t xml:space="preserve">Мероприятия в области коммунального хозяйства </t>
  </si>
  <si>
    <t>540</t>
  </si>
  <si>
    <t>Иные пенсии, социальные доплаты к пенсиям</t>
  </si>
  <si>
    <t>312</t>
  </si>
  <si>
    <t>Пособия, компенсации, меры социальной поддержки по публичным нормативным обязательствам</t>
  </si>
  <si>
    <t>313</t>
  </si>
  <si>
    <t>Мероприятия в области  физической культуры и спорта</t>
  </si>
  <si>
    <t>Развитие сети муниципальных автомобильных дорог общего пользования</t>
  </si>
  <si>
    <t>321</t>
  </si>
  <si>
    <t>Пособия, компенсации и иные социальные выплаты гражданам, кроме публичных нормативных обязательств</t>
  </si>
  <si>
    <t>Cубсидии на поощрение победителей конкурса на лучшую организацию работы в представительных органах местного самоуправления</t>
  </si>
  <si>
    <t xml:space="preserve">Предоставление услуг (работ) в сфере  образования </t>
  </si>
  <si>
    <t>Организация отдыха и оздоровления детей в детских оздоровительных лагерях в период каникул и в санаторных оздоровительных лагерях круглогодичного действия, расположенных на территории РФ, лагерях с дневным пребыванием детей</t>
  </si>
  <si>
    <t xml:space="preserve">Предоставление услуг (работ) в сфере культуры </t>
  </si>
  <si>
    <t>Мероприятия в области молодежной политики</t>
  </si>
  <si>
    <t>Реализация других государственных функций, связанных с общегосударственным управлением</t>
  </si>
  <si>
    <t>9000000000</t>
  </si>
  <si>
    <t>9000000010</t>
  </si>
  <si>
    <t>9000070010</t>
  </si>
  <si>
    <t>9000070020</t>
  </si>
  <si>
    <t>9000070030</t>
  </si>
  <si>
    <t>9000070040</t>
  </si>
  <si>
    <t>9000000070</t>
  </si>
  <si>
    <t>9900000000</t>
  </si>
  <si>
    <t>9900080020</t>
  </si>
  <si>
    <t>0300000000</t>
  </si>
  <si>
    <t>0300020830</t>
  </si>
  <si>
    <t>0400000000</t>
  </si>
  <si>
    <t>0400020840</t>
  </si>
  <si>
    <t>0500000000</t>
  </si>
  <si>
    <t>0500020850</t>
  </si>
  <si>
    <t>0600000000</t>
  </si>
  <si>
    <t>0600020040</t>
  </si>
  <si>
    <t>0700000000</t>
  </si>
  <si>
    <t>0700020060</t>
  </si>
  <si>
    <t>0900000000</t>
  </si>
  <si>
    <t>5700000000</t>
  </si>
  <si>
    <t>9900020330</t>
  </si>
  <si>
    <t>9900059320</t>
  </si>
  <si>
    <t>9900090030</t>
  </si>
  <si>
    <t>9900020860</t>
  </si>
  <si>
    <t>0100000000</t>
  </si>
  <si>
    <t>0100020870</t>
  </si>
  <si>
    <t>9900020880</t>
  </si>
  <si>
    <t>9900020890</t>
  </si>
  <si>
    <t>9900070510</t>
  </si>
  <si>
    <t xml:space="preserve">Фонд оплаты труда государственных 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</si>
  <si>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</si>
  <si>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</si>
  <si>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</si>
  <si>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119</t>
  </si>
  <si>
    <t>6000000000</t>
  </si>
  <si>
    <t>6000000590</t>
  </si>
  <si>
    <t>6000070350</t>
  </si>
  <si>
    <t>5400000000</t>
  </si>
  <si>
    <t>5400060010</t>
  </si>
  <si>
    <t>6100000000</t>
  </si>
  <si>
    <t>6100000590</t>
  </si>
  <si>
    <t>6200000000</t>
  </si>
  <si>
    <t>6200000590</t>
  </si>
  <si>
    <t>9900070370</t>
  </si>
  <si>
    <t>9900070570</t>
  </si>
  <si>
    <t>0200000000</t>
  </si>
  <si>
    <t>0200020140</t>
  </si>
  <si>
    <t>5600000000</t>
  </si>
  <si>
    <t>5600000590</t>
  </si>
  <si>
    <t>5100000000</t>
  </si>
  <si>
    <t>5100000590</t>
  </si>
  <si>
    <t>5200000000</t>
  </si>
  <si>
    <t>5200060140</t>
  </si>
  <si>
    <t>5300000000</t>
  </si>
  <si>
    <t>5300000590</t>
  </si>
  <si>
    <t>9900010270</t>
  </si>
  <si>
    <t>9900070420</t>
  </si>
  <si>
    <t>9900070450</t>
  </si>
  <si>
    <t>9900070530</t>
  </si>
  <si>
    <t>Резервный фонд Администрации Волгоградской области</t>
  </si>
  <si>
    <t>9900080670</t>
  </si>
  <si>
    <t>9900070340</t>
  </si>
  <si>
    <t>9900070400</t>
  </si>
  <si>
    <t>9900070410</t>
  </si>
  <si>
    <t>1200000000</t>
  </si>
  <si>
    <t>1200020350</t>
  </si>
  <si>
    <t>Субсидии на обеспечение полномочий органов местного самоуправления Волгоградской области по организации отдыха детей в каникулярное время</t>
  </si>
  <si>
    <t>0200070090</t>
  </si>
  <si>
    <t>Мероприятия по профилактике терроризма и экстремизма</t>
  </si>
  <si>
    <t xml:space="preserve">Фонд оплаты труда  учреждений </t>
  </si>
  <si>
    <t>Взносы по обязательному социальному страхованию  на выплаты по оплате труда работников и иные выплаты работникам  учреждений</t>
  </si>
  <si>
    <t>9900070580</t>
  </si>
  <si>
    <t>9900070270</t>
  </si>
  <si>
    <t xml:space="preserve"> Межбюджетные трансферты,  передаваемые бюджетам сельских
поселений из бюджетов  муниципальных районов на  осуществление части полномочий  по решению вопросов местного  значения в соответствии с
заключенными соглашениями
</t>
  </si>
  <si>
    <t>5700000590</t>
  </si>
  <si>
    <t>9900051200</t>
  </si>
  <si>
    <t>Предоставление услуг (работ) в сфере средств массовой информации</t>
  </si>
  <si>
    <t>9900060120</t>
  </si>
  <si>
    <t>9900070590</t>
  </si>
  <si>
    <t>Межбюджетные трансферты, передаваемые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</si>
  <si>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242</t>
  </si>
  <si>
    <t>Закупка товаров, работ, услуг в сфере информационно-коммуникационных технологий</t>
  </si>
  <si>
    <t>9900070870</t>
  </si>
  <si>
    <t>Иные межбюджетные трансферты на 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</si>
  <si>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>9900090020</t>
  </si>
  <si>
    <t>Обслуживание муниципального долга</t>
  </si>
  <si>
    <t>730</t>
  </si>
  <si>
    <t>Обслуживание государственного внутреннего и муниципального долга</t>
  </si>
  <si>
    <t>Жилищное хозяйство</t>
  </si>
  <si>
    <t>9900020910</t>
  </si>
  <si>
    <t>853</t>
  </si>
  <si>
    <t>Мероприятия в области жилищного хозяйства</t>
  </si>
  <si>
    <t>Уплата иных платежей</t>
  </si>
  <si>
    <t>9900070070</t>
  </si>
  <si>
    <t>113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</si>
  <si>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</si>
  <si>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Субсидия на приобретение и замену оконных блоков и выполнение необходимых для этого работ в зданиях муниципальных образовательных организациях Волгоградской области</t>
  </si>
  <si>
    <t>Дополнительное образование детей</t>
  </si>
  <si>
    <t xml:space="preserve"> Расходы на обеспечение деятельности (оказание услуг)  казенных учреждений </t>
  </si>
  <si>
    <t xml:space="preserve">Расходы на обеспечение деятельности (оказание услуг)  казенных учреждений </t>
  </si>
  <si>
    <r>
      <t xml:space="preserve"> Расходы на обеспечение деятельности (оказание услуг)  казенных учреждений</t>
    </r>
    <r>
      <rPr>
        <b/>
        <sz val="12"/>
        <rFont val="Times New Roman"/>
        <family val="1"/>
      </rPr>
      <t xml:space="preserve"> </t>
    </r>
  </si>
  <si>
    <t>Ведомственная целевая программа "Развитие  общего  образования Даниловского муниципального района" на 2015-2019 годы</t>
  </si>
  <si>
    <t>Приобретение товаров, работ, услуг в пользу граждан в целях их социального обеспечения</t>
  </si>
  <si>
    <t>323</t>
  </si>
  <si>
    <t>Исполнение судебных актов Российской Федерации и мировых соглашений по возмещению причиненного вреда</t>
  </si>
  <si>
    <t>350</t>
  </si>
  <si>
    <t>Премии и гранты</t>
  </si>
  <si>
    <t>870</t>
  </si>
  <si>
    <t>Резервные средства</t>
  </si>
  <si>
    <t>0800000000</t>
  </si>
  <si>
    <t>0810000000</t>
  </si>
  <si>
    <t>0810100000</t>
  </si>
  <si>
    <t>Профессиональная подготовка, переподготовка и повышение квалификации</t>
  </si>
  <si>
    <t>6000070351</t>
  </si>
  <si>
    <t>6000070352</t>
  </si>
  <si>
    <t>6000070353</t>
  </si>
  <si>
    <t>6100071490</t>
  </si>
  <si>
    <t>6100071491</t>
  </si>
  <si>
    <t>6100071492</t>
  </si>
  <si>
    <t>6100070361</t>
  </si>
  <si>
    <t>6100070362</t>
  </si>
  <si>
    <t>6100070363</t>
  </si>
  <si>
    <t>Иные межбюджетные трансферты бюджетам поселений для решения отдельных вопросов местного значения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</si>
  <si>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</si>
  <si>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Другие вопросы в области социальной политики</t>
  </si>
  <si>
    <t>6100071493</t>
  </si>
  <si>
    <t>Функционирование высшего должностного лица субъекта РФ и муниципального образования</t>
  </si>
  <si>
    <t>9000000030</t>
  </si>
  <si>
    <t>Глава муниципального образования</t>
  </si>
  <si>
    <t>Организационное обеспечение деятельности территориальных административных комиссий</t>
  </si>
  <si>
    <t>Организация и осуществление деятельности по опеке и попечительству</t>
  </si>
  <si>
    <t>Создание, исполнение функций и обеспечение деятельности муниципальных комиссий по делам несовершеннолетних и защите их прав</t>
  </si>
  <si>
    <t>Хранение,  комплектование, учет и использование  архивных документов и архивных фондов, отнесенных к составу архивного фонда Волгоградской области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</si>
  <si>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</si>
  <si>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переданных органам местного самоуправления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состояния"</t>
  </si>
  <si>
    <t>Обеспечение сбалансированности местных бюджетов  бюджетам муниципальных образований</t>
  </si>
  <si>
    <t>Предупреждение и ликвидацию болезней животных, их лечение, защиту населения от болезней, общих для человека и животных, в части организации и проведения мероприятий по отлову, содержанию и уничтожению безнадзорных животных</t>
  </si>
  <si>
    <t>Компенсация (возмещение) выпадающих доходов ресурсоснабжающих организаций, связанных с применением ими регулируемых тарифов на коммунальные ресурсы (услуги) для населения ниже экономически обоснованных тарифов</t>
  </si>
  <si>
    <t>Осуществление образовательного процесса муниципальными дошкольными образовательными организациями</t>
  </si>
  <si>
    <t>Осуществление образовательного процесса муниципальными дошкольными образовательными организациями на оплату труда и начислений на оплату труда педагогических работников</t>
  </si>
  <si>
    <t>Осуществление образовательного процесса муниципальными дошкольными образовательными организациями на оплату труда и начислений на оплату труда прочих работников</t>
  </si>
  <si>
    <t>Осуществление образовательного процесса муниципальными дошкольными образовательными организациями на расходы на обеспечение учебного процесса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</si>
  <si>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</si>
  <si>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начислений на оплату труда педагогических работников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</si>
  <si>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начислений на оплату труда прочих работников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</si>
  <si>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расходы на обеспечение учебного процесса</t>
  </si>
  <si>
    <t>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</si>
  <si>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>Осуществление образовательного процесса муниципальными общеобразовательными организациям</t>
  </si>
  <si>
    <t>Осуществление образовательного процесса муниципальными общеобразовательными организациям на оплату труда и начислений на оплату труда педагогических работников</t>
  </si>
  <si>
    <t>Осуществление образовательного процесса муниципальными общеобразовательными организациям на оплату труда и начислений на оплату труда прочих работников</t>
  </si>
  <si>
    <t>Осуществление образовательного процесса муниципальными общеобразовательными организациям на расходы на обеспечение учебного процесса</t>
  </si>
  <si>
    <t>Приобретение и замену оконных блоков и выполнение необходимых для этого работ в зданиях муниципальных образовательных организациях Волгоградской области</t>
  </si>
  <si>
    <t>Организация питания детей из малоимущих семей и детей, находящихся на учете у фтизиатра, обучающихся в общеобразовательных организациях</t>
  </si>
  <si>
    <t>Решение отдельных вопросов местного значения в сфере дополнительного образования детей</t>
  </si>
  <si>
    <t>Организация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</si>
  <si>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Оплата жилого помещения и отдельных видов коммунальных услуг, предоставляемых педагогическим работникам образовательных учреждений, работающим и проживающим в сельской местности, рабочих поселках (поселках городского типа)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</si>
  <si>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</t>
  </si>
  <si>
    <t>Предоставление субсидий гражданам на оплату жилья и коммунальных услуг</t>
  </si>
  <si>
    <t>Выплата компенсации части родительской платы за содержание ребенка (присмотр и уход за ребенком) в  муниципальных образовательных организациях, реализующих основную общеобразовательную программу дошкольного образования</t>
  </si>
  <si>
    <t>Выплата пособий по опеке и попечительству</t>
  </si>
  <si>
    <t>Вознаграждение за труд причитающееся приемным родителям (патронатному воспитателю) и предоставление им мер социальной поддержки</t>
  </si>
  <si>
    <t>Софинансирование расходных обязательств, возникающих в связи                               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</t>
  </si>
  <si>
    <t>Целевая муниципальная программа "Развитие спорта в Даниловском  муниципальном районе"</t>
  </si>
  <si>
    <t>Ведомственная целевая программа "Содержание и развитие МКУК "Даниловская районная библиотека им. Д.Л.Мордовцева"</t>
  </si>
  <si>
    <t>Ведомственная целевая программа "Организация культурно-досугового обслуживания населения муниципальным бюджетным учреждением "Даниловский районный Дом культуры" Даниловского муниципального района Волгоградской области"</t>
  </si>
  <si>
    <t xml:space="preserve">Муниципальная программа «Развитие сферы культуры на территории Даниловского муниципального района Волгоградской области»
</t>
  </si>
  <si>
    <t>Муниципальная программа "Организация отдыха и оздоровления детей и подростков Даниловского муниципального района Волгоградской области"</t>
  </si>
  <si>
    <t xml:space="preserve">Ведомственная целевая программа "Организация деятельности МКУ "МЦБ Даниловского муниципального района" </t>
  </si>
  <si>
    <t xml:space="preserve">Ведомственная целевая программа "Развитие  дополнительного  образования Даниловского муниципального района" </t>
  </si>
  <si>
    <t>Ведомственная целевая программа "Развитие  общего  образования Даниловского муниципального района"</t>
  </si>
  <si>
    <t xml:space="preserve">Ведомственная целевая программа "Развитие дошкольного образования Даниловского муниципального района" </t>
  </si>
  <si>
    <t>Ведомственная целевая программа «Обеспечение устойчивого функционирования муниципального бюджетного образовательного учреждения дополнительного образования детей «Даниловская детская школа искусств» в Даниловском муниципальном районе»</t>
  </si>
  <si>
    <t xml:space="preserve">Ведомственная целевая программа "Развитие  общего  образования Даниловского муниципального района" </t>
  </si>
  <si>
    <t xml:space="preserve">Ведомственная целевая программа "Повышение эффективности деятельности МКУ "Хозяйственно-эксплуатационной службы Даниловского муниципального района Волгоградской области" </t>
  </si>
  <si>
    <t>Муниципальная программа "Развитие сети муниципальных автомобильных дорог общего пользования Даниловского муниципального района"</t>
  </si>
  <si>
    <t>Ведомственная целевая программа "Организация деятельности МКУ "МЦБ Даниловского муниципального района"</t>
  </si>
  <si>
    <t xml:space="preserve">Муниципальная программа "Развитие муниципальной службы в Администрации Даниловского муниципального района"   </t>
  </si>
  <si>
    <t>Муниципальная программа "Комплексные меры по профилактике наркомании и токсикомании на территории Даниловского муниципального района Волгоградской области"</t>
  </si>
  <si>
    <t>Муниципальная программа "Профилактика правонарушений на территории Даниловского муниципального района"</t>
  </si>
  <si>
    <t>Муниципальная программа "О развитии аппаратно-программного комплекса "Безопасный город" на территории Даниловского муниципального района"</t>
  </si>
  <si>
    <t xml:space="preserve">Муниципальная программа "Формирование доступной среды жизнедеятельности для инвалидов и маломобильных групп населения в Даниловском муниципальном районе" </t>
  </si>
  <si>
    <t>60000S1170</t>
  </si>
  <si>
    <t>61000S0980</t>
  </si>
  <si>
    <t>61000S1170</t>
  </si>
  <si>
    <t>02000S0390</t>
  </si>
  <si>
    <t>99000S0840</t>
  </si>
  <si>
    <t>1000000000</t>
  </si>
  <si>
    <t>1000020840</t>
  </si>
  <si>
    <t>Муниципальная программа "Профилактика терроризма и экстремизма в Даниловском муниципальном районе"</t>
  </si>
  <si>
    <t>1300000000</t>
  </si>
  <si>
    <t>1300020820</t>
  </si>
  <si>
    <t>Муниципальная программа "Информатизация деятельности Администрации Даниловского муниципального района"</t>
  </si>
  <si>
    <t xml:space="preserve">Закупка товаров, работ и услуг в сфере внедрения и развития информационных технологий </t>
  </si>
  <si>
    <t>99000S1150</t>
  </si>
  <si>
    <t>Расходы на реализацию мероприятий в сфере дорожной деятельности</t>
  </si>
  <si>
    <t>0810160020</t>
  </si>
  <si>
    <t>Основное мероприятие "Развитие и укрепление материально-технической базы учреждений культуры"</t>
  </si>
  <si>
    <t>Субсидия на развитие и укрепление материально-технической базы муниципальных учреждений культуры</t>
  </si>
  <si>
    <t>0820000000</t>
  </si>
  <si>
    <t>0820100000</t>
  </si>
  <si>
    <t>0820120340</t>
  </si>
  <si>
    <t>Подпрограмма "Сохранение и развитие народных художественных промыслов"</t>
  </si>
  <si>
    <t xml:space="preserve">Основное мероприятие </t>
  </si>
  <si>
    <t xml:space="preserve">Расходы, направленные на сохранение и развитие народных художественных промыслов </t>
  </si>
  <si>
    <t>0310000000</t>
  </si>
  <si>
    <t>0310100000</t>
  </si>
  <si>
    <t>0310120830</t>
  </si>
  <si>
    <t>Подпрограмма "Формирование доступной среды жизнедеятельности для инвалидов и маломобильных групп населения в учреждениях культуры Даниловского муниципального района"</t>
  </si>
  <si>
    <t>Основное мероприятие "Формирование доступной среды жизнедеятельности для инвалидов и маломобильных групп населения и позитивного отношения общества к проблемам инвалидов"</t>
  </si>
  <si>
    <t>2021 год</t>
  </si>
  <si>
    <t>Ведомственная целевая программа "Сохранение и развитие муниципального казенного учреждения "Даниловский районный историко-краеведческий музей"</t>
  </si>
  <si>
    <t>2022 год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</si>
  <si>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</si>
  <si>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99000L2290</t>
  </si>
  <si>
    <t>Расходы на развитие и укрепление материально-технической базы муниципальных учреждений культуры</t>
  </si>
  <si>
    <t>0810120050</t>
  </si>
  <si>
    <t>9900054690</t>
  </si>
  <si>
    <t>99000S1740</t>
  </si>
  <si>
    <t>99000S1930</t>
  </si>
  <si>
    <t>Благоустройство</t>
  </si>
  <si>
    <t>110F2S1380</t>
  </si>
  <si>
    <t>61000S1840</t>
  </si>
  <si>
    <t>61000S1890</t>
  </si>
  <si>
    <t>110F200000</t>
  </si>
  <si>
    <t>Региональный проект "Успех каждого ребенка (Волгоградская область)"</t>
  </si>
  <si>
    <t>Поддержка муниципальных программ формирования современной городской среды</t>
  </si>
  <si>
    <t>Расходы на благоустройство площадок для проведения праздничных линеек и других мероприятий в муниципальных образовательных организациях</t>
  </si>
  <si>
    <t>61000S1850</t>
  </si>
  <si>
    <t>Расходы на замену кровли и выполнение необходимых для этого работ в зданиях муниципальных образовательных организациях</t>
  </si>
  <si>
    <t>Расходы на приобретение и замену осветительных приборов, а также на выполнение необходимых для этого работ в зданиях муниципальных образовательных организация</t>
  </si>
  <si>
    <t>60000S0980</t>
  </si>
  <si>
    <t>414</t>
  </si>
  <si>
    <t>081А1S1900</t>
  </si>
  <si>
    <t>081A100000</t>
  </si>
  <si>
    <t>Межбюджетные трансферты бюджетам сельских поселений для решения отдельных вопросов местного значения</t>
  </si>
  <si>
    <t>Основное мероприятие "Обеспечение качественно нового уровня развития инфраструктуры в сфере культуры"</t>
  </si>
  <si>
    <t>Расходы на развитие муниципальных домов культуры</t>
  </si>
  <si>
    <t>14000L5765</t>
  </si>
  <si>
    <t>633</t>
  </si>
  <si>
    <t>1400000000</t>
  </si>
  <si>
    <t>Расходы на реализацию мероприятий, связанных с организацией улично - дорожной сети населенных пунктов</t>
  </si>
  <si>
    <t>Муниципальная программа "Комплексное развитие сельских территорий Даниловского муниципаотного района Волгоградской области"</t>
  </si>
  <si>
    <t>Обеспечение комплексного развития сельских территорий (поддержка общественно значимых проектов по благоустройству сельских территорий)</t>
  </si>
  <si>
    <t>Бюджетные инвестиции в объекты капитального строительства государственной (муниципальной) собственности</t>
  </si>
  <si>
    <t>99000S1770</t>
  </si>
  <si>
    <t>Расходы на реализацию проектов местных инициатив населения Волгоградской области</t>
  </si>
  <si>
    <t>60000S1770</t>
  </si>
  <si>
    <t>0810220050</t>
  </si>
  <si>
    <t>0810200000</t>
  </si>
  <si>
    <t>Прочая закупка товаров, работ и услуг</t>
  </si>
  <si>
    <t>990005930F</t>
  </si>
  <si>
    <t>Расходы на осуществление переданных полномочий РФ по государственной регистрации актов гражданского состояния за счет средств резервного фонда Правительства РФ в части перевода в электронную форму книг государственной регистрации актов гражданского состояния</t>
  </si>
  <si>
    <t>6100053030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</si>
  <si>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</si>
  <si>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</si>
  <si>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</si>
  <si>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61000L3040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</si>
  <si>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</si>
  <si>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Муниципальная программа "Совершенствование организации питания обучающихся в общеобразовательных организациях Даниловского муниципального района"</t>
  </si>
  <si>
    <t>04000L3040</t>
  </si>
  <si>
    <t>Муниципальная программа "Комплексная безопасность муниципальных образовательных организаций Даниловского муниципального района"</t>
  </si>
  <si>
    <t>1500000000</t>
  </si>
  <si>
    <t>Расходы на обеспечение пожарной безопасности в образовательных учреждениях</t>
  </si>
  <si>
    <t>1500020070</t>
  </si>
  <si>
    <t>Расходы на обеспечение антитеррористической безопасности образовательных учреждений</t>
  </si>
  <si>
    <t>1500020080</t>
  </si>
  <si>
    <t>Мероприятия по обеспечению информационной безопасности образовательных учреждений</t>
  </si>
  <si>
    <t>1500020100</t>
  </si>
  <si>
    <t>Мероприятия по обеспечению санитарно-эпидемиологической безопасности образовательных учреждений</t>
  </si>
  <si>
    <t>1500020110</t>
  </si>
  <si>
    <t>Мероприятия по охране труда в образовательных учреждениях</t>
  </si>
  <si>
    <t>1500020120</t>
  </si>
  <si>
    <t>Мероприятия по электробезопасности образовательных учреждений</t>
  </si>
  <si>
    <t>1500020130</t>
  </si>
  <si>
    <t>Расходы на мероприятия по безопасности дорожного движения в образовательных учреждениях</t>
  </si>
  <si>
    <t>1500020090</t>
  </si>
  <si>
    <t>6100052280</t>
  </si>
  <si>
    <t>Оснащение объектов спортивной инфраструктуры спортивно-технологическим оборудованием</t>
  </si>
  <si>
    <t>61000S1860</t>
  </si>
  <si>
    <t>Расходы на модернизацию спортивных площадок в общеобразовательных организациях Волгоградской области</t>
  </si>
  <si>
    <t>61000S1910</t>
  </si>
  <si>
    <t>Расходы на дооснащение действующих объектов физической культуры и спорта оборудованием для лиц с ограниченными возможностями здоровья</t>
  </si>
  <si>
    <t>622</t>
  </si>
  <si>
    <t>Распределение расходов по разделам, подразделам, целевым статьям и видам расходов бюджетной классификации РФ районного бюджета на 2021 год и на плановый период 2022 и 2023 годов</t>
  </si>
  <si>
    <t>2023 год</t>
  </si>
  <si>
    <t>Расходы на проведение Всероссийской переписи населения 2021 года</t>
  </si>
  <si>
    <t>6100070360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</si>
  <si>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</si>
  <si>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247</t>
  </si>
  <si>
    <t>Закупка энергетических ресурсов</t>
  </si>
  <si>
    <t>"Приложение 9</t>
  </si>
  <si>
    <t>9900060130</t>
  </si>
  <si>
    <t>Субсидия для реализации дополнительных общеобразовательных программ в рамках системы персонифицированного финансирования</t>
  </si>
  <si>
    <t>Субсидии автономным учреждениям на иные цели</t>
  </si>
  <si>
    <t>6200001590</t>
  </si>
  <si>
    <t>Расходы по реализации дополнительных общеобразовательных программ в рамках системы персонифицированного финансирования</t>
  </si>
  <si>
    <t>0800020150</t>
  </si>
  <si>
    <t>Расходы на поддержку волонтеров в целях стимулирования их работы в организации и проведении мероприятий учреждений культуры</t>
  </si>
  <si>
    <t>08101L4670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</si>
  <si>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</si>
  <si>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99000S1970</t>
  </si>
  <si>
    <t>Подпрограмма  «Развитие и укрепление материально-технической базы муниципального бюджетного учреждения «Даниловский районный Дом культуры»</t>
  </si>
  <si>
    <t>60000S1850</t>
  </si>
  <si>
    <t>Расходы местным бюджетам на приобретение и монтаж оборудования для доочистки воды</t>
  </si>
  <si>
    <t>0900020890</t>
  </si>
  <si>
    <t>09000S1970</t>
  </si>
  <si>
    <t>Муниципальная программа "Улучшение качества хозяйственно-питьевого водоснабжения  Даниловского муниципального района Волгоградской области"</t>
  </si>
  <si>
    <t>0900070590</t>
  </si>
  <si>
    <t>12000S1910</t>
  </si>
  <si>
    <t>1.7. Приложение 9 изложить в следующей редакции:</t>
  </si>
  <si>
    <t xml:space="preserve">от 04.05.2021 года № 7/1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</si>
</sst>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  <numFmt numFmtId="178" formatCode="#,##0.0"/>
    <numFmt numFmtId="179" formatCode="0.000"/>
    <numFmt numFmtId="180" formatCode="0.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179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179" fontId="3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2" fontId="4" fillId="0" borderId="10" xfId="0" applyNumberFormat="1" applyFont="1" applyBorder="1" applyAlignment="1">
      <alignment horizontal="right"/>
    </xf>
    <xf numFmtId="179" fontId="4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179" fontId="3" fillId="0" borderId="10" xfId="0" applyNumberFormat="1" applyFont="1" applyBorder="1" applyAlignment="1">
      <alignment horizontal="right"/>
    </xf>
    <xf numFmtId="172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179" fontId="3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17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179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4" fillId="0" borderId="1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179" fontId="3" fillId="0" borderId="10" xfId="0" applyNumberFormat="1" applyFont="1" applyBorder="1" applyAlignment="1">
      <alignment horizontal="right"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wrapText="1"/>
    </xf>
    <xf numFmtId="49" fontId="3" fillId="33" borderId="10" xfId="0" applyNumberFormat="1" applyFont="1" applyFill="1" applyBorder="1" applyAlignment="1">
      <alignment horizontal="center"/>
    </xf>
    <xf numFmtId="0" fontId="43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179" fontId="4" fillId="0" borderId="12" xfId="0" applyNumberFormat="1" applyFont="1" applyBorder="1" applyAlignment="1">
      <alignment/>
    </xf>
    <xf numFmtId="179" fontId="4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/>
    </xf>
    <xf numFmtId="179" fontId="4" fillId="0" borderId="12" xfId="0" applyNumberFormat="1" applyFont="1" applyBorder="1" applyAlignment="1">
      <alignment horizontal="right"/>
    </xf>
    <xf numFmtId="179" fontId="3" fillId="0" borderId="12" xfId="0" applyNumberFormat="1" applyFont="1" applyBorder="1" applyAlignment="1">
      <alignment horizontal="right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179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33" borderId="11" xfId="0" applyFont="1" applyFill="1" applyBorder="1" applyAlignment="1">
      <alignment wrapText="1"/>
    </xf>
    <xf numFmtId="0" fontId="44" fillId="0" borderId="0" xfId="0" applyFont="1" applyBorder="1" applyAlignment="1">
      <alignment/>
    </xf>
    <xf numFmtId="179" fontId="4" fillId="0" borderId="0" xfId="0" applyNumberFormat="1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179" fontId="3" fillId="33" borderId="10" xfId="0" applyNumberFormat="1" applyFont="1" applyFill="1" applyBorder="1" applyAlignment="1">
      <alignment horizontal="right"/>
    </xf>
    <xf numFmtId="179" fontId="3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vertical="center" wrapText="1"/>
    </xf>
    <xf numFmtId="179" fontId="5" fillId="0" borderId="0" xfId="0" applyNumberFormat="1" applyFont="1" applyAlignment="1">
      <alignment horizontal="center"/>
    </xf>
    <xf numFmtId="179" fontId="3" fillId="0" borderId="0" xfId="0" applyNumberFormat="1" applyFont="1" applyBorder="1" applyAlignment="1">
      <alignment/>
    </xf>
    <xf numFmtId="0" fontId="3" fillId="33" borderId="10" xfId="0" applyFont="1" applyFill="1" applyBorder="1" applyAlignment="1">
      <alignment vertical="center" wrapText="1"/>
    </xf>
    <xf numFmtId="179" fontId="3" fillId="33" borderId="10" xfId="0" applyNumberFormat="1" applyFont="1" applyFill="1" applyBorder="1" applyAlignment="1">
      <alignment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34" borderId="10" xfId="0" applyFont="1" applyFill="1" applyBorder="1" applyAlignment="1" applyProtection="1">
      <alignment vertical="center" wrapText="1"/>
      <protection locked="0"/>
    </xf>
    <xf numFmtId="0" fontId="3" fillId="33" borderId="11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5" xfId="0" applyFont="1" applyBorder="1" applyAlignment="1">
      <alignment/>
    </xf>
    <xf numFmtId="0" fontId="43" fillId="0" borderId="0" xfId="0" applyFont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13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9"/>
  <sheetViews>
    <sheetView showZeros="0" tabSelected="1" view="pageBreakPreview" zoomScaleSheetLayoutView="100" zoomScalePageLayoutView="0" workbookViewId="0" topLeftCell="A1">
      <selection activeCell="A6" sqref="A6:I6"/>
    </sheetView>
  </sheetViews>
  <sheetFormatPr defaultColWidth="9.00390625" defaultRowHeight="12.75"/>
  <cols>
    <col min="1" max="1" width="44.00390625" style="107" customWidth="1"/>
    <col min="2" max="3" width="5.25390625" style="33" customWidth="1"/>
    <col min="4" max="4" width="12.75390625" style="33" customWidth="1"/>
    <col min="5" max="5" width="5.375" style="33" customWidth="1"/>
    <col min="6" max="6" width="10.875" style="33" hidden="1" customWidth="1"/>
    <col min="7" max="7" width="12.125" style="33" bestFit="1" customWidth="1"/>
    <col min="8" max="8" width="13.25390625" style="33" customWidth="1"/>
    <col min="9" max="9" width="13.375" style="33" customWidth="1"/>
    <col min="10" max="10" width="16.875" style="33" customWidth="1"/>
    <col min="11" max="11" width="17.125" style="33" customWidth="1"/>
    <col min="12" max="16384" width="9.125" style="33" customWidth="1"/>
  </cols>
  <sheetData>
    <row r="1" spans="1:9" ht="15.75">
      <c r="A1" s="110" t="s">
        <v>412</v>
      </c>
      <c r="B1" s="110"/>
      <c r="C1" s="111"/>
      <c r="D1" s="111"/>
      <c r="E1" s="111"/>
      <c r="F1" s="111"/>
      <c r="G1" s="111"/>
      <c r="H1" s="111"/>
      <c r="I1" s="111"/>
    </row>
    <row r="2" spans="1:7" s="3" customFormat="1" ht="15.75">
      <c r="A2" s="89"/>
      <c r="B2" s="1"/>
      <c r="C2" s="1"/>
      <c r="D2" s="1"/>
      <c r="E2" s="112" t="s">
        <v>393</v>
      </c>
      <c r="F2" s="112"/>
      <c r="G2" s="112"/>
    </row>
    <row r="3" spans="1:7" s="3" customFormat="1" ht="29.25" customHeight="1">
      <c r="A3" s="113" t="s">
        <v>54</v>
      </c>
      <c r="B3" s="114"/>
      <c r="C3" s="114"/>
      <c r="D3" s="114"/>
      <c r="E3" s="114"/>
      <c r="F3" s="114"/>
      <c r="G3" s="114"/>
    </row>
    <row r="4" spans="1:7" s="3" customFormat="1" ht="15.75">
      <c r="A4" s="89"/>
      <c r="B4" s="114" t="s">
        <v>413</v>
      </c>
      <c r="C4" s="114"/>
      <c r="D4" s="114"/>
      <c r="E4" s="114"/>
      <c r="F4" s="114"/>
      <c r="G4" s="114"/>
    </row>
    <row r="5" spans="1:7" s="3" customFormat="1" ht="15.75">
      <c r="A5" s="89"/>
      <c r="B5" s="1"/>
      <c r="C5" s="1"/>
      <c r="D5" s="1"/>
      <c r="E5" s="2"/>
      <c r="F5" s="1"/>
      <c r="G5" s="1"/>
    </row>
    <row r="6" spans="1:9" s="3" customFormat="1" ht="32.25" customHeight="1">
      <c r="A6" s="116" t="s">
        <v>386</v>
      </c>
      <c r="B6" s="116"/>
      <c r="C6" s="116"/>
      <c r="D6" s="116"/>
      <c r="E6" s="116"/>
      <c r="F6" s="116"/>
      <c r="G6" s="116"/>
      <c r="H6" s="116"/>
      <c r="I6" s="116"/>
    </row>
    <row r="7" spans="1:7" s="3" customFormat="1" ht="15.75">
      <c r="A7" s="112"/>
      <c r="B7" s="112"/>
      <c r="C7" s="112"/>
      <c r="D7" s="112"/>
      <c r="E7" s="112"/>
      <c r="F7" s="112"/>
      <c r="G7" s="4"/>
    </row>
    <row r="8" spans="1:9" s="3" customFormat="1" ht="15.75">
      <c r="A8" s="89"/>
      <c r="I8" s="1" t="s">
        <v>41</v>
      </c>
    </row>
    <row r="9" spans="1:11" s="3" customFormat="1" ht="64.5" customHeight="1">
      <c r="A9" s="34" t="s">
        <v>0</v>
      </c>
      <c r="B9" s="5" t="s">
        <v>1</v>
      </c>
      <c r="C9" s="5" t="s">
        <v>2</v>
      </c>
      <c r="D9" s="5" t="s">
        <v>3</v>
      </c>
      <c r="E9" s="5" t="s">
        <v>4</v>
      </c>
      <c r="F9" s="6">
        <v>2007</v>
      </c>
      <c r="G9" s="7" t="s">
        <v>312</v>
      </c>
      <c r="H9" s="7" t="s">
        <v>314</v>
      </c>
      <c r="I9" s="64" t="s">
        <v>387</v>
      </c>
      <c r="J9" s="32"/>
      <c r="K9" s="32"/>
    </row>
    <row r="10" spans="1:11" s="3" customFormat="1" ht="15.75">
      <c r="A10" s="34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6</v>
      </c>
      <c r="H10" s="8">
        <v>7</v>
      </c>
      <c r="I10" s="65">
        <v>8</v>
      </c>
      <c r="J10" s="32"/>
      <c r="K10" s="32"/>
    </row>
    <row r="11" spans="1:11" s="3" customFormat="1" ht="15.75">
      <c r="A11" s="90"/>
      <c r="B11" s="8"/>
      <c r="C11" s="8"/>
      <c r="D11" s="8"/>
      <c r="E11" s="8"/>
      <c r="F11" s="8"/>
      <c r="G11" s="8"/>
      <c r="H11" s="8"/>
      <c r="I11" s="65"/>
      <c r="J11" s="32"/>
      <c r="K11" s="32"/>
    </row>
    <row r="12" spans="1:11" s="3" customFormat="1" ht="15.75">
      <c r="A12" s="91" t="s">
        <v>5</v>
      </c>
      <c r="B12" s="9" t="s">
        <v>6</v>
      </c>
      <c r="C12" s="10"/>
      <c r="D12" s="10"/>
      <c r="E12" s="10"/>
      <c r="F12" s="11" t="e">
        <f>#REF!+F18+F28+#REF!+F85+F89</f>
        <v>#REF!</v>
      </c>
      <c r="G12" s="12">
        <f>G18+G28+G85+G89+G61+G65+G13</f>
        <v>62002.83</v>
      </c>
      <c r="H12" s="12">
        <f>H18+H28+H85+H89+H61+H65+H13</f>
        <v>67458.7</v>
      </c>
      <c r="I12" s="66">
        <f>I18+I28+I85+I89+I61+I65+I13</f>
        <v>68620.50000000001</v>
      </c>
      <c r="J12" s="32"/>
      <c r="K12" s="73"/>
    </row>
    <row r="13" spans="1:11" s="40" customFormat="1" ht="47.25">
      <c r="A13" s="59" t="s">
        <v>229</v>
      </c>
      <c r="B13" s="27" t="s">
        <v>6</v>
      </c>
      <c r="C13" s="27" t="s">
        <v>7</v>
      </c>
      <c r="D13" s="30"/>
      <c r="E13" s="27"/>
      <c r="F13" s="28"/>
      <c r="G13" s="29">
        <f aca="true" t="shared" si="0" ref="G13:I14">G14</f>
        <v>1227.1</v>
      </c>
      <c r="H13" s="29">
        <f t="shared" si="0"/>
        <v>1369.6000000000001</v>
      </c>
      <c r="I13" s="67">
        <f t="shared" si="0"/>
        <v>1369.6000000000001</v>
      </c>
      <c r="J13" s="74"/>
      <c r="K13" s="73"/>
    </row>
    <row r="14" spans="1:11" s="3" customFormat="1" ht="31.5">
      <c r="A14" s="35" t="s">
        <v>62</v>
      </c>
      <c r="B14" s="24" t="s">
        <v>6</v>
      </c>
      <c r="C14" s="24" t="s">
        <v>7</v>
      </c>
      <c r="D14" s="19" t="s">
        <v>102</v>
      </c>
      <c r="E14" s="10"/>
      <c r="F14" s="11"/>
      <c r="G14" s="26">
        <f t="shared" si="0"/>
        <v>1227.1</v>
      </c>
      <c r="H14" s="26">
        <f t="shared" si="0"/>
        <v>1369.6000000000001</v>
      </c>
      <c r="I14" s="68">
        <f t="shared" si="0"/>
        <v>1369.6000000000001</v>
      </c>
      <c r="J14" s="32"/>
      <c r="K14" s="73"/>
    </row>
    <row r="15" spans="1:11" s="3" customFormat="1" ht="15.75">
      <c r="A15" s="92" t="s">
        <v>231</v>
      </c>
      <c r="B15" s="24" t="s">
        <v>6</v>
      </c>
      <c r="C15" s="24" t="s">
        <v>7</v>
      </c>
      <c r="D15" s="19" t="s">
        <v>230</v>
      </c>
      <c r="E15" s="10"/>
      <c r="F15" s="11"/>
      <c r="G15" s="26">
        <f>G16+G17</f>
        <v>1227.1</v>
      </c>
      <c r="H15" s="26">
        <f>H16+H17</f>
        <v>1369.6000000000001</v>
      </c>
      <c r="I15" s="68">
        <f>I16+I17</f>
        <v>1369.6000000000001</v>
      </c>
      <c r="J15" s="32"/>
      <c r="K15" s="73"/>
    </row>
    <row r="16" spans="1:11" s="3" customFormat="1" ht="31.5">
      <c r="A16" s="36" t="s">
        <v>132</v>
      </c>
      <c r="B16" s="24" t="s">
        <v>6</v>
      </c>
      <c r="C16" s="24" t="s">
        <v>7</v>
      </c>
      <c r="D16" s="19" t="s">
        <v>230</v>
      </c>
      <c r="E16" s="10" t="s">
        <v>64</v>
      </c>
      <c r="F16" s="11"/>
      <c r="G16" s="26">
        <v>981.9</v>
      </c>
      <c r="H16" s="26">
        <v>1051.9</v>
      </c>
      <c r="I16" s="68">
        <v>1051.9</v>
      </c>
      <c r="J16" s="32"/>
      <c r="K16" s="73"/>
    </row>
    <row r="17" spans="1:11" s="3" customFormat="1" ht="63" customHeight="1">
      <c r="A17" s="36" t="s">
        <v>134</v>
      </c>
      <c r="B17" s="24" t="s">
        <v>6</v>
      </c>
      <c r="C17" s="24" t="s">
        <v>7</v>
      </c>
      <c r="D17" s="19" t="s">
        <v>230</v>
      </c>
      <c r="E17" s="10" t="s">
        <v>133</v>
      </c>
      <c r="F17" s="11"/>
      <c r="G17" s="26">
        <v>245.2</v>
      </c>
      <c r="H17" s="26">
        <v>317.7</v>
      </c>
      <c r="I17" s="68">
        <v>317.7</v>
      </c>
      <c r="J17" s="32"/>
      <c r="K17" s="73"/>
    </row>
    <row r="18" spans="1:11" s="3" customFormat="1" ht="78.75">
      <c r="A18" s="43" t="s">
        <v>8</v>
      </c>
      <c r="B18" s="13" t="s">
        <v>6</v>
      </c>
      <c r="C18" s="13" t="s">
        <v>9</v>
      </c>
      <c r="D18" s="13"/>
      <c r="E18" s="16"/>
      <c r="F18" s="17" t="e">
        <f>F22</f>
        <v>#REF!</v>
      </c>
      <c r="G18" s="18">
        <f aca="true" t="shared" si="1" ref="G18:I19">G19</f>
        <v>446.70000000000005</v>
      </c>
      <c r="H18" s="18">
        <f t="shared" si="1"/>
        <v>454.6</v>
      </c>
      <c r="I18" s="69">
        <f t="shared" si="1"/>
        <v>454.6</v>
      </c>
      <c r="J18" s="32"/>
      <c r="K18" s="73"/>
    </row>
    <row r="19" spans="1:11" s="3" customFormat="1" ht="31.5">
      <c r="A19" s="35" t="s">
        <v>62</v>
      </c>
      <c r="B19" s="19" t="s">
        <v>6</v>
      </c>
      <c r="C19" s="19" t="s">
        <v>9</v>
      </c>
      <c r="D19" s="19" t="s">
        <v>102</v>
      </c>
      <c r="E19" s="19"/>
      <c r="F19" s="17"/>
      <c r="G19" s="47">
        <f t="shared" si="1"/>
        <v>446.70000000000005</v>
      </c>
      <c r="H19" s="47">
        <f t="shared" si="1"/>
        <v>454.6</v>
      </c>
      <c r="I19" s="70">
        <f t="shared" si="1"/>
        <v>454.6</v>
      </c>
      <c r="J19" s="32"/>
      <c r="K19" s="73"/>
    </row>
    <row r="20" spans="1:11" s="3" customFormat="1" ht="47.25">
      <c r="A20" s="35" t="s">
        <v>65</v>
      </c>
      <c r="B20" s="19" t="s">
        <v>6</v>
      </c>
      <c r="C20" s="19" t="s">
        <v>9</v>
      </c>
      <c r="D20" s="19" t="s">
        <v>103</v>
      </c>
      <c r="E20" s="19"/>
      <c r="F20" s="17"/>
      <c r="G20" s="47">
        <f>G21+G22+G24+G25+G26+G23+G27</f>
        <v>446.70000000000005</v>
      </c>
      <c r="H20" s="47">
        <f>H21+H22+H24+H25+H26+H23+H27</f>
        <v>454.6</v>
      </c>
      <c r="I20" s="70">
        <f>I21+I22+I24+I25+I26+I23+I27</f>
        <v>454.6</v>
      </c>
      <c r="J20" s="32"/>
      <c r="K20" s="73"/>
    </row>
    <row r="21" spans="1:11" s="3" customFormat="1" ht="31.5">
      <c r="A21" s="36" t="s">
        <v>132</v>
      </c>
      <c r="B21" s="19" t="s">
        <v>6</v>
      </c>
      <c r="C21" s="19" t="s">
        <v>9</v>
      </c>
      <c r="D21" s="19" t="s">
        <v>103</v>
      </c>
      <c r="E21" s="19" t="s">
        <v>64</v>
      </c>
      <c r="F21" s="17"/>
      <c r="G21" s="47">
        <v>319.5</v>
      </c>
      <c r="H21" s="47">
        <v>341.5</v>
      </c>
      <c r="I21" s="70">
        <v>341.5</v>
      </c>
      <c r="J21" s="32"/>
      <c r="K21" s="73"/>
    </row>
    <row r="22" spans="1:11" s="3" customFormat="1" ht="48.75" customHeight="1" hidden="1">
      <c r="A22" s="36" t="s">
        <v>66</v>
      </c>
      <c r="B22" s="19" t="s">
        <v>6</v>
      </c>
      <c r="C22" s="19" t="s">
        <v>9</v>
      </c>
      <c r="D22" s="19" t="s">
        <v>103</v>
      </c>
      <c r="E22" s="19" t="s">
        <v>68</v>
      </c>
      <c r="F22" s="17" t="e">
        <f>#REF!+#REF!</f>
        <v>#REF!</v>
      </c>
      <c r="G22" s="47"/>
      <c r="H22" s="47"/>
      <c r="I22" s="70"/>
      <c r="J22" s="32"/>
      <c r="K22" s="73"/>
    </row>
    <row r="23" spans="1:11" s="3" customFormat="1" ht="63.75" customHeight="1">
      <c r="A23" s="36" t="s">
        <v>134</v>
      </c>
      <c r="B23" s="19" t="s">
        <v>6</v>
      </c>
      <c r="C23" s="19" t="s">
        <v>9</v>
      </c>
      <c r="D23" s="19" t="s">
        <v>103</v>
      </c>
      <c r="E23" s="19" t="s">
        <v>133</v>
      </c>
      <c r="F23" s="17"/>
      <c r="G23" s="47">
        <f>80-0.1+23.4</f>
        <v>103.30000000000001</v>
      </c>
      <c r="H23" s="47">
        <v>103.1</v>
      </c>
      <c r="I23" s="70">
        <v>103.1</v>
      </c>
      <c r="J23" s="32"/>
      <c r="K23" s="73"/>
    </row>
    <row r="24" spans="1:11" s="3" customFormat="1" ht="31.5">
      <c r="A24" s="36" t="s">
        <v>67</v>
      </c>
      <c r="B24" s="19" t="s">
        <v>6</v>
      </c>
      <c r="C24" s="19" t="s">
        <v>9</v>
      </c>
      <c r="D24" s="19" t="s">
        <v>103</v>
      </c>
      <c r="E24" s="38" t="s">
        <v>69</v>
      </c>
      <c r="F24" s="17" t="e">
        <f>#REF!</f>
        <v>#REF!</v>
      </c>
      <c r="G24" s="47">
        <v>23.8</v>
      </c>
      <c r="H24" s="47">
        <v>10</v>
      </c>
      <c r="I24" s="70">
        <v>10</v>
      </c>
      <c r="J24" s="32"/>
      <c r="K24" s="73"/>
    </row>
    <row r="25" spans="1:11" s="3" customFormat="1" ht="31.5">
      <c r="A25" s="36" t="s">
        <v>71</v>
      </c>
      <c r="B25" s="19" t="s">
        <v>6</v>
      </c>
      <c r="C25" s="19" t="s">
        <v>9</v>
      </c>
      <c r="D25" s="19" t="s">
        <v>103</v>
      </c>
      <c r="E25" s="38" t="s">
        <v>73</v>
      </c>
      <c r="F25" s="17"/>
      <c r="G25" s="47"/>
      <c r="H25" s="47"/>
      <c r="I25" s="70"/>
      <c r="J25" s="32"/>
      <c r="K25" s="73"/>
    </row>
    <row r="26" spans="1:11" s="3" customFormat="1" ht="31.5">
      <c r="A26" s="36" t="s">
        <v>78</v>
      </c>
      <c r="B26" s="19" t="s">
        <v>6</v>
      </c>
      <c r="C26" s="19" t="s">
        <v>9</v>
      </c>
      <c r="D26" s="19" t="s">
        <v>103</v>
      </c>
      <c r="E26" s="38" t="s">
        <v>81</v>
      </c>
      <c r="F26" s="17"/>
      <c r="G26" s="47"/>
      <c r="H26" s="47"/>
      <c r="I26" s="70"/>
      <c r="J26" s="32"/>
      <c r="K26" s="73"/>
    </row>
    <row r="27" spans="1:11" s="3" customFormat="1" ht="15.75">
      <c r="A27" s="36" t="s">
        <v>195</v>
      </c>
      <c r="B27" s="19" t="s">
        <v>6</v>
      </c>
      <c r="C27" s="19" t="s">
        <v>9</v>
      </c>
      <c r="D27" s="19" t="s">
        <v>103</v>
      </c>
      <c r="E27" s="39" t="s">
        <v>193</v>
      </c>
      <c r="F27" s="17"/>
      <c r="G27" s="47">
        <v>0.1</v>
      </c>
      <c r="H27" s="47"/>
      <c r="I27" s="70"/>
      <c r="J27" s="32"/>
      <c r="K27" s="73"/>
    </row>
    <row r="28" spans="1:11" s="3" customFormat="1" ht="78" customHeight="1">
      <c r="A28" s="93" t="s">
        <v>10</v>
      </c>
      <c r="B28" s="13" t="s">
        <v>6</v>
      </c>
      <c r="C28" s="13" t="s">
        <v>11</v>
      </c>
      <c r="D28" s="13"/>
      <c r="E28" s="13"/>
      <c r="F28" s="11" t="e">
        <f>#REF!</f>
        <v>#REF!</v>
      </c>
      <c r="G28" s="12">
        <f>G29</f>
        <v>21642.597</v>
      </c>
      <c r="H28" s="12">
        <f>H29</f>
        <v>26674.7</v>
      </c>
      <c r="I28" s="66">
        <f>I29</f>
        <v>26695.800000000003</v>
      </c>
      <c r="J28" s="32"/>
      <c r="K28" s="73"/>
    </row>
    <row r="29" spans="1:11" s="3" customFormat="1" ht="31.5">
      <c r="A29" s="35" t="s">
        <v>62</v>
      </c>
      <c r="B29" s="10" t="s">
        <v>6</v>
      </c>
      <c r="C29" s="10" t="s">
        <v>11</v>
      </c>
      <c r="D29" s="10" t="s">
        <v>102</v>
      </c>
      <c r="E29" s="10"/>
      <c r="F29" s="11"/>
      <c r="G29" s="26">
        <f>G30+G40+G46+G51+G56</f>
        <v>21642.597</v>
      </c>
      <c r="H29" s="26">
        <f>H30+H40+H46+H51+H56</f>
        <v>26674.7</v>
      </c>
      <c r="I29" s="68">
        <f>I30+I40+I46+I51+I56</f>
        <v>26695.800000000003</v>
      </c>
      <c r="J29" s="32"/>
      <c r="K29" s="73"/>
    </row>
    <row r="30" spans="1:11" s="3" customFormat="1" ht="47.25">
      <c r="A30" s="35" t="s">
        <v>65</v>
      </c>
      <c r="B30" s="10" t="s">
        <v>6</v>
      </c>
      <c r="C30" s="10" t="s">
        <v>11</v>
      </c>
      <c r="D30" s="10" t="s">
        <v>103</v>
      </c>
      <c r="E30" s="10"/>
      <c r="F30" s="11"/>
      <c r="G30" s="26">
        <f>G31+G32+G34+G37+G38+G33+G39+G36+G35</f>
        <v>20104.597</v>
      </c>
      <c r="H30" s="26">
        <f>H31+H32+H34+H37+H38+H33+H39+H36+H35</f>
        <v>25173.100000000002</v>
      </c>
      <c r="I30" s="26">
        <f>I31+I32+I34+I37+I38+I33+I39+I36+I35</f>
        <v>25183.100000000002</v>
      </c>
      <c r="J30" s="32"/>
      <c r="K30" s="73"/>
    </row>
    <row r="31" spans="1:11" s="3" customFormat="1" ht="31.5">
      <c r="A31" s="36" t="s">
        <v>135</v>
      </c>
      <c r="B31" s="10" t="s">
        <v>6</v>
      </c>
      <c r="C31" s="10" t="s">
        <v>11</v>
      </c>
      <c r="D31" s="10" t="s">
        <v>103</v>
      </c>
      <c r="E31" s="39" t="s">
        <v>64</v>
      </c>
      <c r="F31" s="11"/>
      <c r="G31" s="26">
        <f>17700-1481.939-335.616-293.545</f>
        <v>15588.9</v>
      </c>
      <c r="H31" s="26">
        <v>19257.4</v>
      </c>
      <c r="I31" s="68">
        <v>19257.4</v>
      </c>
      <c r="J31" s="32"/>
      <c r="K31" s="73"/>
    </row>
    <row r="32" spans="1:11" s="3" customFormat="1" ht="48.75" customHeight="1" hidden="1">
      <c r="A32" s="36" t="s">
        <v>66</v>
      </c>
      <c r="B32" s="10" t="s">
        <v>6</v>
      </c>
      <c r="C32" s="10" t="s">
        <v>11</v>
      </c>
      <c r="D32" s="10" t="s">
        <v>103</v>
      </c>
      <c r="E32" s="39" t="s">
        <v>68</v>
      </c>
      <c r="F32" s="11"/>
      <c r="G32" s="26"/>
      <c r="H32" s="26"/>
      <c r="I32" s="68"/>
      <c r="J32" s="32"/>
      <c r="K32" s="73"/>
    </row>
    <row r="33" spans="1:11" s="3" customFormat="1" ht="48.75" customHeight="1">
      <c r="A33" s="36" t="s">
        <v>134</v>
      </c>
      <c r="B33" s="10" t="s">
        <v>6</v>
      </c>
      <c r="C33" s="10" t="s">
        <v>11</v>
      </c>
      <c r="D33" s="10" t="s">
        <v>103</v>
      </c>
      <c r="E33" s="39" t="s">
        <v>133</v>
      </c>
      <c r="F33" s="11"/>
      <c r="G33" s="26">
        <f>4487.8-134-1.08-372.44-48.422</f>
        <v>3931.858</v>
      </c>
      <c r="H33" s="26">
        <v>5815.7</v>
      </c>
      <c r="I33" s="68">
        <v>5815.7</v>
      </c>
      <c r="J33" s="32"/>
      <c r="K33" s="73"/>
    </row>
    <row r="34" spans="1:11" s="3" customFormat="1" ht="60" customHeight="1">
      <c r="A34" s="35" t="s">
        <v>70</v>
      </c>
      <c r="B34" s="10" t="s">
        <v>6</v>
      </c>
      <c r="C34" s="10" t="s">
        <v>11</v>
      </c>
      <c r="D34" s="10" t="s">
        <v>103</v>
      </c>
      <c r="E34" s="39" t="s">
        <v>69</v>
      </c>
      <c r="F34" s="11"/>
      <c r="G34" s="26">
        <f>350+17.5+73.885+1.08+5</f>
        <v>447.465</v>
      </c>
      <c r="H34" s="26">
        <v>100</v>
      </c>
      <c r="I34" s="68">
        <v>110</v>
      </c>
      <c r="J34" s="32"/>
      <c r="K34" s="73"/>
    </row>
    <row r="35" spans="1:11" s="3" customFormat="1" ht="60" customHeight="1" hidden="1">
      <c r="A35" s="36" t="s">
        <v>95</v>
      </c>
      <c r="B35" s="10" t="s">
        <v>6</v>
      </c>
      <c r="C35" s="10" t="s">
        <v>11</v>
      </c>
      <c r="D35" s="10" t="s">
        <v>103</v>
      </c>
      <c r="E35" s="39" t="s">
        <v>94</v>
      </c>
      <c r="F35" s="11"/>
      <c r="G35" s="26"/>
      <c r="H35" s="26"/>
      <c r="I35" s="26"/>
      <c r="J35" s="32"/>
      <c r="K35" s="73"/>
    </row>
    <row r="36" spans="1:11" s="3" customFormat="1" ht="44.25" customHeight="1" hidden="1">
      <c r="A36" s="94" t="s">
        <v>209</v>
      </c>
      <c r="B36" s="10" t="s">
        <v>6</v>
      </c>
      <c r="C36" s="10" t="s">
        <v>11</v>
      </c>
      <c r="D36" s="10" t="s">
        <v>103</v>
      </c>
      <c r="E36" s="39" t="s">
        <v>208</v>
      </c>
      <c r="F36" s="11"/>
      <c r="G36" s="26"/>
      <c r="H36" s="26"/>
      <c r="I36" s="68"/>
      <c r="J36" s="32"/>
      <c r="K36" s="73"/>
    </row>
    <row r="37" spans="1:11" s="3" customFormat="1" ht="31.5">
      <c r="A37" s="35" t="s">
        <v>71</v>
      </c>
      <c r="B37" s="10" t="s">
        <v>6</v>
      </c>
      <c r="C37" s="10" t="s">
        <v>11</v>
      </c>
      <c r="D37" s="10" t="s">
        <v>103</v>
      </c>
      <c r="E37" s="39" t="s">
        <v>73</v>
      </c>
      <c r="F37" s="11"/>
      <c r="G37" s="26">
        <f>25-15.61+7.788</f>
        <v>17.178</v>
      </c>
      <c r="H37" s="26"/>
      <c r="I37" s="68"/>
      <c r="J37" s="32"/>
      <c r="K37" s="73"/>
    </row>
    <row r="38" spans="1:11" s="3" customFormat="1" ht="19.5" customHeight="1">
      <c r="A38" s="36" t="s">
        <v>78</v>
      </c>
      <c r="B38" s="10" t="s">
        <v>6</v>
      </c>
      <c r="C38" s="10" t="s">
        <v>11</v>
      </c>
      <c r="D38" s="10" t="s">
        <v>103</v>
      </c>
      <c r="E38" s="39" t="s">
        <v>81</v>
      </c>
      <c r="F38" s="11"/>
      <c r="G38" s="26">
        <f>33+2.764</f>
        <v>35.764</v>
      </c>
      <c r="H38" s="26"/>
      <c r="I38" s="68"/>
      <c r="J38" s="32"/>
      <c r="K38" s="73"/>
    </row>
    <row r="39" spans="1:11" s="3" customFormat="1" ht="15.75">
      <c r="A39" s="36" t="s">
        <v>195</v>
      </c>
      <c r="B39" s="10" t="s">
        <v>6</v>
      </c>
      <c r="C39" s="10" t="s">
        <v>11</v>
      </c>
      <c r="D39" s="10" t="s">
        <v>103</v>
      </c>
      <c r="E39" s="39" t="s">
        <v>193</v>
      </c>
      <c r="F39" s="11"/>
      <c r="G39" s="26">
        <f>35+48.422+0.01</f>
        <v>83.432</v>
      </c>
      <c r="H39" s="26"/>
      <c r="I39" s="68"/>
      <c r="J39" s="32"/>
      <c r="K39" s="73"/>
    </row>
    <row r="40" spans="1:11" s="3" customFormat="1" ht="47.25">
      <c r="A40" s="36" t="s">
        <v>232</v>
      </c>
      <c r="B40" s="10" t="s">
        <v>6</v>
      </c>
      <c r="C40" s="10" t="s">
        <v>11</v>
      </c>
      <c r="D40" s="10" t="s">
        <v>104</v>
      </c>
      <c r="E40" s="10"/>
      <c r="F40" s="11"/>
      <c r="G40" s="26">
        <f>G41+G42+G45+G42+G43+G44</f>
        <v>294.79999999999995</v>
      </c>
      <c r="H40" s="26">
        <f>H41+H42+H45+H42+H43+H44</f>
        <v>294.79999999999995</v>
      </c>
      <c r="I40" s="68">
        <f>I41+I42+I45+I42+I43+I44</f>
        <v>294.79999999999995</v>
      </c>
      <c r="J40" s="32"/>
      <c r="K40" s="73"/>
    </row>
    <row r="41" spans="1:11" s="3" customFormat="1" ht="47.25">
      <c r="A41" s="36" t="s">
        <v>63</v>
      </c>
      <c r="B41" s="10" t="s">
        <v>6</v>
      </c>
      <c r="C41" s="10" t="s">
        <v>11</v>
      </c>
      <c r="D41" s="10" t="s">
        <v>104</v>
      </c>
      <c r="E41" s="10" t="s">
        <v>64</v>
      </c>
      <c r="F41" s="11"/>
      <c r="G41" s="26">
        <v>227.7</v>
      </c>
      <c r="H41" s="26">
        <v>227.7</v>
      </c>
      <c r="I41" s="68">
        <v>227.7</v>
      </c>
      <c r="J41" s="32"/>
      <c r="K41" s="73"/>
    </row>
    <row r="42" spans="1:11" s="3" customFormat="1" ht="48.75" customHeight="1" hidden="1">
      <c r="A42" s="36" t="s">
        <v>66</v>
      </c>
      <c r="B42" s="10" t="s">
        <v>6</v>
      </c>
      <c r="C42" s="10" t="s">
        <v>11</v>
      </c>
      <c r="D42" s="10" t="s">
        <v>104</v>
      </c>
      <c r="E42" s="10" t="s">
        <v>68</v>
      </c>
      <c r="F42" s="11"/>
      <c r="G42" s="26"/>
      <c r="H42" s="26"/>
      <c r="I42" s="68"/>
      <c r="J42" s="32"/>
      <c r="K42" s="73"/>
    </row>
    <row r="43" spans="1:11" s="3" customFormat="1" ht="48.75" customHeight="1">
      <c r="A43" s="36" t="s">
        <v>134</v>
      </c>
      <c r="B43" s="10" t="s">
        <v>6</v>
      </c>
      <c r="C43" s="10" t="s">
        <v>11</v>
      </c>
      <c r="D43" s="10" t="s">
        <v>104</v>
      </c>
      <c r="E43" s="10" t="s">
        <v>133</v>
      </c>
      <c r="F43" s="11"/>
      <c r="G43" s="26">
        <v>67.1</v>
      </c>
      <c r="H43" s="26">
        <v>67.1</v>
      </c>
      <c r="I43" s="68">
        <v>67.1</v>
      </c>
      <c r="J43" s="32"/>
      <c r="K43" s="73"/>
    </row>
    <row r="44" spans="1:11" s="3" customFormat="1" ht="48.75" customHeight="1" hidden="1">
      <c r="A44" s="36" t="s">
        <v>184</v>
      </c>
      <c r="B44" s="10" t="s">
        <v>6</v>
      </c>
      <c r="C44" s="10" t="s">
        <v>11</v>
      </c>
      <c r="D44" s="10" t="s">
        <v>104</v>
      </c>
      <c r="E44" s="10" t="s">
        <v>183</v>
      </c>
      <c r="F44" s="11"/>
      <c r="G44" s="26"/>
      <c r="H44" s="26"/>
      <c r="I44" s="68"/>
      <c r="J44" s="32"/>
      <c r="K44" s="73"/>
    </row>
    <row r="45" spans="1:11" s="3" customFormat="1" ht="47.25" hidden="1">
      <c r="A45" s="35" t="s">
        <v>70</v>
      </c>
      <c r="B45" s="10" t="s">
        <v>6</v>
      </c>
      <c r="C45" s="10" t="s">
        <v>11</v>
      </c>
      <c r="D45" s="10" t="s">
        <v>104</v>
      </c>
      <c r="E45" s="39" t="s">
        <v>69</v>
      </c>
      <c r="F45" s="11"/>
      <c r="G45" s="26"/>
      <c r="H45" s="26"/>
      <c r="I45" s="68"/>
      <c r="J45" s="32"/>
      <c r="K45" s="73"/>
    </row>
    <row r="46" spans="1:11" s="3" customFormat="1" ht="31.5">
      <c r="A46" s="36" t="s">
        <v>233</v>
      </c>
      <c r="B46" s="10" t="s">
        <v>6</v>
      </c>
      <c r="C46" s="10" t="s">
        <v>11</v>
      </c>
      <c r="D46" s="10" t="s">
        <v>105</v>
      </c>
      <c r="E46" s="10"/>
      <c r="F46" s="11"/>
      <c r="G46" s="26">
        <f>G50+G47+G48+G49</f>
        <v>658.3</v>
      </c>
      <c r="H46" s="26">
        <f>H50+H47+H48+H49</f>
        <v>658.3</v>
      </c>
      <c r="I46" s="68">
        <f>I50+I47+I48+I49</f>
        <v>658.3</v>
      </c>
      <c r="J46" s="32"/>
      <c r="K46" s="73"/>
    </row>
    <row r="47" spans="1:11" s="3" customFormat="1" ht="47.25">
      <c r="A47" s="36" t="s">
        <v>63</v>
      </c>
      <c r="B47" s="10" t="s">
        <v>6</v>
      </c>
      <c r="C47" s="10" t="s">
        <v>11</v>
      </c>
      <c r="D47" s="10" t="s">
        <v>105</v>
      </c>
      <c r="E47" s="10" t="s">
        <v>64</v>
      </c>
      <c r="F47" s="11"/>
      <c r="G47" s="26">
        <v>508.7</v>
      </c>
      <c r="H47" s="26">
        <v>508.7</v>
      </c>
      <c r="I47" s="68">
        <v>508.7</v>
      </c>
      <c r="J47" s="32"/>
      <c r="K47" s="73"/>
    </row>
    <row r="48" spans="1:11" s="3" customFormat="1" ht="52.5" customHeight="1" hidden="1">
      <c r="A48" s="36" t="s">
        <v>66</v>
      </c>
      <c r="B48" s="10" t="s">
        <v>6</v>
      </c>
      <c r="C48" s="10" t="s">
        <v>11</v>
      </c>
      <c r="D48" s="10" t="s">
        <v>105</v>
      </c>
      <c r="E48" s="10" t="s">
        <v>68</v>
      </c>
      <c r="F48" s="11"/>
      <c r="G48" s="26"/>
      <c r="H48" s="26"/>
      <c r="I48" s="68"/>
      <c r="J48" s="32"/>
      <c r="K48" s="73"/>
    </row>
    <row r="49" spans="1:11" s="3" customFormat="1" ht="50.25" customHeight="1">
      <c r="A49" s="36" t="s">
        <v>134</v>
      </c>
      <c r="B49" s="10" t="s">
        <v>6</v>
      </c>
      <c r="C49" s="10" t="s">
        <v>11</v>
      </c>
      <c r="D49" s="10" t="s">
        <v>105</v>
      </c>
      <c r="E49" s="10" t="s">
        <v>133</v>
      </c>
      <c r="F49" s="11"/>
      <c r="G49" s="26">
        <v>149.6</v>
      </c>
      <c r="H49" s="26">
        <v>149.6</v>
      </c>
      <c r="I49" s="68">
        <v>149.6</v>
      </c>
      <c r="J49" s="32"/>
      <c r="K49" s="73"/>
    </row>
    <row r="50" spans="1:11" s="3" customFormat="1" ht="47.25" hidden="1">
      <c r="A50" s="35" t="s">
        <v>70</v>
      </c>
      <c r="B50" s="10" t="s">
        <v>6</v>
      </c>
      <c r="C50" s="10" t="s">
        <v>11</v>
      </c>
      <c r="D50" s="10" t="s">
        <v>105</v>
      </c>
      <c r="E50" s="39" t="s">
        <v>69</v>
      </c>
      <c r="F50" s="11"/>
      <c r="G50" s="26"/>
      <c r="H50" s="26"/>
      <c r="I50" s="68"/>
      <c r="J50" s="32"/>
      <c r="K50" s="73"/>
    </row>
    <row r="51" spans="1:11" s="3" customFormat="1" ht="63">
      <c r="A51" s="36" t="s">
        <v>234</v>
      </c>
      <c r="B51" s="10" t="s">
        <v>6</v>
      </c>
      <c r="C51" s="10" t="s">
        <v>11</v>
      </c>
      <c r="D51" s="10" t="s">
        <v>106</v>
      </c>
      <c r="E51" s="10"/>
      <c r="F51" s="11"/>
      <c r="G51" s="26">
        <f>G55+G52+G53+G54</f>
        <v>313.7</v>
      </c>
      <c r="H51" s="26">
        <f>H55+H52+H53+H54</f>
        <v>277.3</v>
      </c>
      <c r="I51" s="68">
        <f>I55+I52+I53+I54</f>
        <v>288.4</v>
      </c>
      <c r="J51" s="32"/>
      <c r="K51" s="73"/>
    </row>
    <row r="52" spans="1:11" s="3" customFormat="1" ht="47.25">
      <c r="A52" s="36" t="s">
        <v>63</v>
      </c>
      <c r="B52" s="10" t="s">
        <v>6</v>
      </c>
      <c r="C52" s="10" t="s">
        <v>11</v>
      </c>
      <c r="D52" s="10" t="s">
        <v>106</v>
      </c>
      <c r="E52" s="10" t="s">
        <v>64</v>
      </c>
      <c r="F52" s="11"/>
      <c r="G52" s="26">
        <v>240.9</v>
      </c>
      <c r="H52" s="26">
        <v>213</v>
      </c>
      <c r="I52" s="68">
        <v>221.5</v>
      </c>
      <c r="J52" s="32"/>
      <c r="K52" s="73"/>
    </row>
    <row r="53" spans="1:11" s="3" customFormat="1" ht="49.5" customHeight="1" hidden="1">
      <c r="A53" s="36" t="s">
        <v>66</v>
      </c>
      <c r="B53" s="10" t="s">
        <v>6</v>
      </c>
      <c r="C53" s="10" t="s">
        <v>11</v>
      </c>
      <c r="D53" s="10" t="s">
        <v>106</v>
      </c>
      <c r="E53" s="10" t="s">
        <v>68</v>
      </c>
      <c r="F53" s="11"/>
      <c r="G53" s="26"/>
      <c r="H53" s="26"/>
      <c r="I53" s="68"/>
      <c r="J53" s="32"/>
      <c r="K53" s="73"/>
    </row>
    <row r="54" spans="1:11" s="3" customFormat="1" ht="49.5" customHeight="1">
      <c r="A54" s="36" t="s">
        <v>134</v>
      </c>
      <c r="B54" s="10" t="s">
        <v>6</v>
      </c>
      <c r="C54" s="10" t="s">
        <v>11</v>
      </c>
      <c r="D54" s="10" t="s">
        <v>106</v>
      </c>
      <c r="E54" s="10" t="s">
        <v>133</v>
      </c>
      <c r="F54" s="11"/>
      <c r="G54" s="26">
        <v>72.8</v>
      </c>
      <c r="H54" s="26">
        <v>64.3</v>
      </c>
      <c r="I54" s="68">
        <v>66.9</v>
      </c>
      <c r="J54" s="32"/>
      <c r="K54" s="73"/>
    </row>
    <row r="55" spans="1:11" s="3" customFormat="1" ht="47.25" hidden="1">
      <c r="A55" s="35" t="s">
        <v>70</v>
      </c>
      <c r="B55" s="10" t="s">
        <v>6</v>
      </c>
      <c r="C55" s="10" t="s">
        <v>11</v>
      </c>
      <c r="D55" s="10" t="s">
        <v>106</v>
      </c>
      <c r="E55" s="39" t="s">
        <v>69</v>
      </c>
      <c r="F55" s="11"/>
      <c r="G55" s="26"/>
      <c r="H55" s="26"/>
      <c r="I55" s="68"/>
      <c r="J55" s="32"/>
      <c r="K55" s="73"/>
    </row>
    <row r="56" spans="1:11" s="3" customFormat="1" ht="63">
      <c r="A56" s="36" t="s">
        <v>235</v>
      </c>
      <c r="B56" s="10" t="s">
        <v>6</v>
      </c>
      <c r="C56" s="10" t="s">
        <v>11</v>
      </c>
      <c r="D56" s="10" t="s">
        <v>107</v>
      </c>
      <c r="E56" s="10"/>
      <c r="F56" s="11"/>
      <c r="G56" s="26">
        <f>G59+G57+G58+G60</f>
        <v>271.2</v>
      </c>
      <c r="H56" s="26">
        <f>H59+H57+H58+H60</f>
        <v>271.2</v>
      </c>
      <c r="I56" s="26">
        <f>I59+I57+I58+I60</f>
        <v>271.2</v>
      </c>
      <c r="J56" s="32"/>
      <c r="K56" s="73"/>
    </row>
    <row r="57" spans="1:11" s="3" customFormat="1" ht="47.25" hidden="1">
      <c r="A57" s="36" t="s">
        <v>63</v>
      </c>
      <c r="B57" s="10" t="s">
        <v>6</v>
      </c>
      <c r="C57" s="10" t="s">
        <v>11</v>
      </c>
      <c r="D57" s="10" t="s">
        <v>107</v>
      </c>
      <c r="E57" s="10" t="s">
        <v>64</v>
      </c>
      <c r="F57" s="11"/>
      <c r="G57" s="26"/>
      <c r="H57" s="26"/>
      <c r="I57" s="68"/>
      <c r="J57" s="32"/>
      <c r="K57" s="73"/>
    </row>
    <row r="58" spans="1:11" s="3" customFormat="1" ht="51.75" customHeight="1" hidden="1">
      <c r="A58" s="36" t="s">
        <v>134</v>
      </c>
      <c r="B58" s="10" t="s">
        <v>6</v>
      </c>
      <c r="C58" s="10" t="s">
        <v>11</v>
      </c>
      <c r="D58" s="10" t="s">
        <v>107</v>
      </c>
      <c r="E58" s="10" t="s">
        <v>133</v>
      </c>
      <c r="F58" s="11"/>
      <c r="G58" s="26"/>
      <c r="H58" s="26"/>
      <c r="I58" s="68"/>
      <c r="J58" s="32"/>
      <c r="K58" s="73"/>
    </row>
    <row r="59" spans="1:11" s="3" customFormat="1" ht="47.25">
      <c r="A59" s="35" t="s">
        <v>70</v>
      </c>
      <c r="B59" s="10" t="s">
        <v>6</v>
      </c>
      <c r="C59" s="10" t="s">
        <v>11</v>
      </c>
      <c r="D59" s="10" t="s">
        <v>107</v>
      </c>
      <c r="E59" s="39" t="s">
        <v>69</v>
      </c>
      <c r="F59" s="11"/>
      <c r="G59" s="26">
        <f>271.2-100</f>
        <v>171.2</v>
      </c>
      <c r="H59" s="26">
        <f>271.2-100</f>
        <v>171.2</v>
      </c>
      <c r="I59" s="26">
        <f>271.2-100</f>
        <v>171.2</v>
      </c>
      <c r="J59" s="32"/>
      <c r="K59" s="73"/>
    </row>
    <row r="60" spans="1:11" s="3" customFormat="1" ht="15.75">
      <c r="A60" s="35" t="s">
        <v>392</v>
      </c>
      <c r="B60" s="10" t="s">
        <v>6</v>
      </c>
      <c r="C60" s="10" t="s">
        <v>11</v>
      </c>
      <c r="D60" s="10" t="s">
        <v>107</v>
      </c>
      <c r="E60" s="39" t="s">
        <v>391</v>
      </c>
      <c r="F60" s="11"/>
      <c r="G60" s="26">
        <v>100</v>
      </c>
      <c r="H60" s="26">
        <v>100</v>
      </c>
      <c r="I60" s="26">
        <v>100</v>
      </c>
      <c r="J60" s="32"/>
      <c r="K60" s="73"/>
    </row>
    <row r="61" spans="1:11" s="40" customFormat="1" ht="15.75" customHeight="1">
      <c r="A61" s="93" t="s">
        <v>42</v>
      </c>
      <c r="B61" s="27" t="s">
        <v>6</v>
      </c>
      <c r="C61" s="27" t="s">
        <v>20</v>
      </c>
      <c r="D61" s="27"/>
      <c r="E61" s="27"/>
      <c r="F61" s="28" t="e">
        <f>F62</f>
        <v>#REF!</v>
      </c>
      <c r="G61" s="29">
        <f>G62</f>
        <v>6.8</v>
      </c>
      <c r="H61" s="29">
        <f>H62</f>
        <v>58.5</v>
      </c>
      <c r="I61" s="67">
        <f>I62</f>
        <v>3.5</v>
      </c>
      <c r="J61" s="74"/>
      <c r="K61" s="73"/>
    </row>
    <row r="62" spans="1:11" s="3" customFormat="1" ht="31.5">
      <c r="A62" s="35" t="s">
        <v>62</v>
      </c>
      <c r="B62" s="10" t="s">
        <v>6</v>
      </c>
      <c r="C62" s="10" t="s">
        <v>20</v>
      </c>
      <c r="D62" s="10" t="s">
        <v>102</v>
      </c>
      <c r="E62" s="10"/>
      <c r="F62" s="14" t="e">
        <f>#REF!</f>
        <v>#REF!</v>
      </c>
      <c r="G62" s="15">
        <f aca="true" t="shared" si="2" ref="G62:I63">G63</f>
        <v>6.8</v>
      </c>
      <c r="H62" s="15">
        <f t="shared" si="2"/>
        <v>58.5</v>
      </c>
      <c r="I62" s="71">
        <f t="shared" si="2"/>
        <v>3.5</v>
      </c>
      <c r="J62" s="32"/>
      <c r="K62" s="73"/>
    </row>
    <row r="63" spans="1:11" s="3" customFormat="1" ht="78.75">
      <c r="A63" s="95" t="s">
        <v>236</v>
      </c>
      <c r="B63" s="19" t="s">
        <v>6</v>
      </c>
      <c r="C63" s="19" t="s">
        <v>20</v>
      </c>
      <c r="D63" s="19" t="s">
        <v>178</v>
      </c>
      <c r="E63" s="19"/>
      <c r="F63" s="21"/>
      <c r="G63" s="15">
        <f t="shared" si="2"/>
        <v>6.8</v>
      </c>
      <c r="H63" s="15">
        <f t="shared" si="2"/>
        <v>58.5</v>
      </c>
      <c r="I63" s="71">
        <f t="shared" si="2"/>
        <v>3.5</v>
      </c>
      <c r="J63" s="32"/>
      <c r="K63" s="73"/>
    </row>
    <row r="64" spans="1:11" s="3" customFormat="1" ht="47.25">
      <c r="A64" s="35" t="s">
        <v>70</v>
      </c>
      <c r="B64" s="19" t="s">
        <v>6</v>
      </c>
      <c r="C64" s="19" t="s">
        <v>20</v>
      </c>
      <c r="D64" s="19" t="s">
        <v>178</v>
      </c>
      <c r="E64" s="19" t="s">
        <v>69</v>
      </c>
      <c r="F64" s="21"/>
      <c r="G64" s="15">
        <v>6.8</v>
      </c>
      <c r="H64" s="15">
        <v>58.5</v>
      </c>
      <c r="I64" s="71">
        <v>3.5</v>
      </c>
      <c r="J64" s="32"/>
      <c r="K64" s="73"/>
    </row>
    <row r="65" spans="1:11" s="40" customFormat="1" ht="65.25" customHeight="1">
      <c r="A65" s="93" t="s">
        <v>49</v>
      </c>
      <c r="B65" s="27" t="s">
        <v>6</v>
      </c>
      <c r="C65" s="27" t="s">
        <v>26</v>
      </c>
      <c r="D65" s="27"/>
      <c r="E65" s="27"/>
      <c r="F65" s="28" t="e">
        <f>#REF!</f>
        <v>#REF!</v>
      </c>
      <c r="G65" s="29">
        <f>G66+G79</f>
        <v>4774.4</v>
      </c>
      <c r="H65" s="29">
        <f>H66+H79</f>
        <v>4559.4</v>
      </c>
      <c r="I65" s="67">
        <f>I66+I79</f>
        <v>4564.4</v>
      </c>
      <c r="J65" s="74"/>
      <c r="K65" s="73"/>
    </row>
    <row r="66" spans="1:11" s="40" customFormat="1" ht="31.5">
      <c r="A66" s="35" t="s">
        <v>62</v>
      </c>
      <c r="B66" s="10" t="s">
        <v>6</v>
      </c>
      <c r="C66" s="10" t="s">
        <v>26</v>
      </c>
      <c r="D66" s="10" t="s">
        <v>102</v>
      </c>
      <c r="E66" s="27"/>
      <c r="F66" s="28"/>
      <c r="G66" s="26">
        <f>G67+G75</f>
        <v>4388.7</v>
      </c>
      <c r="H66" s="26">
        <f>H67+H75</f>
        <v>4559.4</v>
      </c>
      <c r="I66" s="68">
        <f>I67+I75</f>
        <v>4564.4</v>
      </c>
      <c r="J66" s="74"/>
      <c r="K66" s="73"/>
    </row>
    <row r="67" spans="1:11" s="40" customFormat="1" ht="47.25">
      <c r="A67" s="35" t="s">
        <v>65</v>
      </c>
      <c r="B67" s="10" t="s">
        <v>6</v>
      </c>
      <c r="C67" s="10" t="s">
        <v>26</v>
      </c>
      <c r="D67" s="10" t="s">
        <v>103</v>
      </c>
      <c r="E67" s="10"/>
      <c r="F67" s="28"/>
      <c r="G67" s="26">
        <f>G68+G69+G71+G73+G72+G70+G74</f>
        <v>3583.3</v>
      </c>
      <c r="H67" s="26">
        <f>H68+H69+H71+H73+H72+H70+H74</f>
        <v>3656.4</v>
      </c>
      <c r="I67" s="68">
        <f>I68+I69+I71+I73+I72+I70+I74</f>
        <v>3661.4</v>
      </c>
      <c r="J67" s="74"/>
      <c r="K67" s="73"/>
    </row>
    <row r="68" spans="1:11" s="40" customFormat="1" ht="47.25">
      <c r="A68" s="36" t="s">
        <v>63</v>
      </c>
      <c r="B68" s="10" t="s">
        <v>6</v>
      </c>
      <c r="C68" s="10" t="s">
        <v>26</v>
      </c>
      <c r="D68" s="10" t="s">
        <v>103</v>
      </c>
      <c r="E68" s="39" t="s">
        <v>64</v>
      </c>
      <c r="F68" s="28"/>
      <c r="G68" s="26">
        <f>2554.5+115.5</f>
        <v>2670</v>
      </c>
      <c r="H68" s="26">
        <v>2754.5</v>
      </c>
      <c r="I68" s="68">
        <v>2754.5</v>
      </c>
      <c r="J68" s="74"/>
      <c r="K68" s="73"/>
    </row>
    <row r="69" spans="1:11" s="40" customFormat="1" ht="53.25" customHeight="1">
      <c r="A69" s="36" t="s">
        <v>66</v>
      </c>
      <c r="B69" s="10" t="s">
        <v>6</v>
      </c>
      <c r="C69" s="10" t="s">
        <v>26</v>
      </c>
      <c r="D69" s="10" t="s">
        <v>103</v>
      </c>
      <c r="E69" s="39" t="s">
        <v>68</v>
      </c>
      <c r="F69" s="28"/>
      <c r="G69" s="26">
        <v>10</v>
      </c>
      <c r="H69" s="26">
        <v>10</v>
      </c>
      <c r="I69" s="68">
        <v>10</v>
      </c>
      <c r="J69" s="74"/>
      <c r="K69" s="73"/>
    </row>
    <row r="70" spans="1:11" s="40" customFormat="1" ht="53.25" customHeight="1">
      <c r="A70" s="36" t="s">
        <v>134</v>
      </c>
      <c r="B70" s="10" t="s">
        <v>6</v>
      </c>
      <c r="C70" s="10" t="s">
        <v>26</v>
      </c>
      <c r="D70" s="10" t="s">
        <v>103</v>
      </c>
      <c r="E70" s="39" t="s">
        <v>133</v>
      </c>
      <c r="F70" s="28"/>
      <c r="G70" s="26">
        <f>642+51.4-0.1</f>
        <v>693.3</v>
      </c>
      <c r="H70" s="26">
        <v>831.9</v>
      </c>
      <c r="I70" s="68">
        <v>831.9</v>
      </c>
      <c r="J70" s="74"/>
      <c r="K70" s="73"/>
    </row>
    <row r="71" spans="1:11" s="40" customFormat="1" ht="47.25">
      <c r="A71" s="35" t="s">
        <v>70</v>
      </c>
      <c r="B71" s="10" t="s">
        <v>6</v>
      </c>
      <c r="C71" s="10" t="s">
        <v>26</v>
      </c>
      <c r="D71" s="10" t="s">
        <v>103</v>
      </c>
      <c r="E71" s="39" t="s">
        <v>69</v>
      </c>
      <c r="F71" s="28"/>
      <c r="G71" s="26">
        <f>40+20+150</f>
        <v>210</v>
      </c>
      <c r="H71" s="26">
        <f>20+40</f>
        <v>60</v>
      </c>
      <c r="I71" s="68">
        <f>20+45</f>
        <v>65</v>
      </c>
      <c r="J71" s="74"/>
      <c r="K71" s="73"/>
    </row>
    <row r="72" spans="1:11" s="40" customFormat="1" ht="31.5">
      <c r="A72" s="35" t="s">
        <v>71</v>
      </c>
      <c r="B72" s="10" t="s">
        <v>6</v>
      </c>
      <c r="C72" s="10" t="s">
        <v>26</v>
      </c>
      <c r="D72" s="10" t="s">
        <v>103</v>
      </c>
      <c r="E72" s="39" t="s">
        <v>73</v>
      </c>
      <c r="F72" s="28"/>
      <c r="G72" s="26"/>
      <c r="H72" s="26"/>
      <c r="I72" s="68"/>
      <c r="J72" s="74"/>
      <c r="K72" s="73"/>
    </row>
    <row r="73" spans="1:11" s="40" customFormat="1" ht="31.5">
      <c r="A73" s="35" t="s">
        <v>78</v>
      </c>
      <c r="B73" s="10" t="s">
        <v>6</v>
      </c>
      <c r="C73" s="10" t="s">
        <v>26</v>
      </c>
      <c r="D73" s="10" t="s">
        <v>103</v>
      </c>
      <c r="E73" s="39" t="s">
        <v>81</v>
      </c>
      <c r="F73" s="28"/>
      <c r="G73" s="26"/>
      <c r="H73" s="26"/>
      <c r="I73" s="68"/>
      <c r="J73" s="74"/>
      <c r="K73" s="73"/>
    </row>
    <row r="74" spans="1:11" s="40" customFormat="1" ht="15.75">
      <c r="A74" s="54" t="s">
        <v>195</v>
      </c>
      <c r="B74" s="10" t="s">
        <v>6</v>
      </c>
      <c r="C74" s="10" t="s">
        <v>26</v>
      </c>
      <c r="D74" s="10" t="s">
        <v>103</v>
      </c>
      <c r="E74" s="39" t="s">
        <v>193</v>
      </c>
      <c r="F74" s="28"/>
      <c r="G74" s="26"/>
      <c r="H74" s="26"/>
      <c r="I74" s="68"/>
      <c r="J74" s="74"/>
      <c r="K74" s="73"/>
    </row>
    <row r="75" spans="1:11" s="40" customFormat="1" ht="31.5">
      <c r="A75" s="96" t="s">
        <v>50</v>
      </c>
      <c r="B75" s="10" t="s">
        <v>6</v>
      </c>
      <c r="C75" s="10" t="s">
        <v>26</v>
      </c>
      <c r="D75" s="10" t="s">
        <v>108</v>
      </c>
      <c r="E75" s="10"/>
      <c r="F75" s="28"/>
      <c r="G75" s="26">
        <f>G76+G77+G78</f>
        <v>805.4</v>
      </c>
      <c r="H75" s="26">
        <f>H76+H77+H78</f>
        <v>903</v>
      </c>
      <c r="I75" s="26">
        <f>I76+I77+I78</f>
        <v>903</v>
      </c>
      <c r="J75" s="74"/>
      <c r="K75" s="73"/>
    </row>
    <row r="76" spans="1:11" s="40" customFormat="1" ht="47.25">
      <c r="A76" s="36" t="s">
        <v>63</v>
      </c>
      <c r="B76" s="10" t="s">
        <v>6</v>
      </c>
      <c r="C76" s="10" t="s">
        <v>26</v>
      </c>
      <c r="D76" s="10" t="s">
        <v>108</v>
      </c>
      <c r="E76" s="10" t="s">
        <v>64</v>
      </c>
      <c r="F76" s="28"/>
      <c r="G76" s="26">
        <v>644</v>
      </c>
      <c r="H76" s="26">
        <v>694</v>
      </c>
      <c r="I76" s="68">
        <v>694</v>
      </c>
      <c r="J76" s="74"/>
      <c r="K76" s="73"/>
    </row>
    <row r="77" spans="1:11" s="40" customFormat="1" ht="66.75" customHeight="1">
      <c r="A77" s="36" t="s">
        <v>134</v>
      </c>
      <c r="B77" s="10" t="s">
        <v>6</v>
      </c>
      <c r="C77" s="10" t="s">
        <v>26</v>
      </c>
      <c r="D77" s="10" t="s">
        <v>108</v>
      </c>
      <c r="E77" s="10" t="s">
        <v>133</v>
      </c>
      <c r="F77" s="28"/>
      <c r="G77" s="26">
        <v>161.3</v>
      </c>
      <c r="H77" s="26">
        <v>209</v>
      </c>
      <c r="I77" s="68">
        <v>209</v>
      </c>
      <c r="J77" s="74"/>
      <c r="K77" s="73"/>
    </row>
    <row r="78" spans="1:11" s="40" customFormat="1" ht="15.75">
      <c r="A78" s="36" t="s">
        <v>195</v>
      </c>
      <c r="B78" s="10" t="s">
        <v>6</v>
      </c>
      <c r="C78" s="10" t="s">
        <v>26</v>
      </c>
      <c r="D78" s="10" t="s">
        <v>108</v>
      </c>
      <c r="E78" s="10" t="s">
        <v>193</v>
      </c>
      <c r="F78" s="28"/>
      <c r="G78" s="26">
        <v>0.1</v>
      </c>
      <c r="H78" s="26"/>
      <c r="I78" s="26"/>
      <c r="J78" s="74"/>
      <c r="K78" s="73"/>
    </row>
    <row r="79" spans="1:11" s="40" customFormat="1" ht="31.5">
      <c r="A79" s="97" t="s">
        <v>72</v>
      </c>
      <c r="B79" s="10" t="s">
        <v>6</v>
      </c>
      <c r="C79" s="10" t="s">
        <v>26</v>
      </c>
      <c r="D79" s="10" t="s">
        <v>109</v>
      </c>
      <c r="E79" s="19"/>
      <c r="F79" s="28"/>
      <c r="G79" s="26">
        <f>G80</f>
        <v>385.7</v>
      </c>
      <c r="H79" s="26">
        <f>H80</f>
        <v>0</v>
      </c>
      <c r="I79" s="68">
        <f>I80</f>
        <v>0</v>
      </c>
      <c r="J79" s="74"/>
      <c r="K79" s="73"/>
    </row>
    <row r="80" spans="1:11" s="40" customFormat="1" ht="100.5" customHeight="1">
      <c r="A80" s="36" t="s">
        <v>182</v>
      </c>
      <c r="B80" s="10" t="s">
        <v>6</v>
      </c>
      <c r="C80" s="10" t="s">
        <v>26</v>
      </c>
      <c r="D80" s="10" t="s">
        <v>181</v>
      </c>
      <c r="F80" s="28"/>
      <c r="G80" s="26">
        <f>G81+G82+G83+G84</f>
        <v>385.7</v>
      </c>
      <c r="H80" s="26">
        <f>H81+H82+H83+H84</f>
        <v>0</v>
      </c>
      <c r="I80" s="68">
        <f>I81+I82+I83+I84</f>
        <v>0</v>
      </c>
      <c r="J80" s="74"/>
      <c r="K80" s="73"/>
    </row>
    <row r="81" spans="1:11" s="40" customFormat="1" ht="47.25">
      <c r="A81" s="36" t="s">
        <v>63</v>
      </c>
      <c r="B81" s="10" t="s">
        <v>6</v>
      </c>
      <c r="C81" s="10" t="s">
        <v>26</v>
      </c>
      <c r="D81" s="10" t="s">
        <v>181</v>
      </c>
      <c r="E81" s="10" t="s">
        <v>64</v>
      </c>
      <c r="F81" s="28"/>
      <c r="G81" s="26">
        <v>296.2</v>
      </c>
      <c r="H81" s="26"/>
      <c r="I81" s="68"/>
      <c r="J81" s="74"/>
      <c r="K81" s="73"/>
    </row>
    <row r="82" spans="1:11" s="40" customFormat="1" ht="48.75" customHeight="1" hidden="1">
      <c r="A82" s="36" t="s">
        <v>66</v>
      </c>
      <c r="B82" s="10" t="s">
        <v>6</v>
      </c>
      <c r="C82" s="10" t="s">
        <v>26</v>
      </c>
      <c r="D82" s="10" t="s">
        <v>181</v>
      </c>
      <c r="E82" s="10" t="s">
        <v>68</v>
      </c>
      <c r="F82" s="28"/>
      <c r="G82" s="26"/>
      <c r="H82" s="26"/>
      <c r="I82" s="68"/>
      <c r="J82" s="74"/>
      <c r="K82" s="73"/>
    </row>
    <row r="83" spans="1:11" s="40" customFormat="1" ht="68.25" customHeight="1">
      <c r="A83" s="36" t="s">
        <v>134</v>
      </c>
      <c r="B83" s="10" t="s">
        <v>6</v>
      </c>
      <c r="C83" s="10" t="s">
        <v>26</v>
      </c>
      <c r="D83" s="10" t="s">
        <v>181</v>
      </c>
      <c r="E83" s="10" t="s">
        <v>133</v>
      </c>
      <c r="F83" s="28"/>
      <c r="G83" s="26">
        <v>89.5</v>
      </c>
      <c r="H83" s="26"/>
      <c r="I83" s="68"/>
      <c r="J83" s="74"/>
      <c r="K83" s="73"/>
    </row>
    <row r="84" spans="1:11" s="40" customFormat="1" ht="47.25" hidden="1">
      <c r="A84" s="35" t="s">
        <v>70</v>
      </c>
      <c r="B84" s="10" t="s">
        <v>6</v>
      </c>
      <c r="C84" s="10" t="s">
        <v>26</v>
      </c>
      <c r="D84" s="10" t="s">
        <v>181</v>
      </c>
      <c r="E84" s="10" t="s">
        <v>69</v>
      </c>
      <c r="F84" s="28"/>
      <c r="G84" s="26"/>
      <c r="H84" s="26"/>
      <c r="I84" s="68"/>
      <c r="J84" s="74"/>
      <c r="K84" s="73"/>
    </row>
    <row r="85" spans="1:11" s="37" customFormat="1" ht="15.75" customHeight="1">
      <c r="A85" s="98" t="s">
        <v>15</v>
      </c>
      <c r="B85" s="9" t="s">
        <v>6</v>
      </c>
      <c r="C85" s="9" t="s">
        <v>13</v>
      </c>
      <c r="D85" s="9"/>
      <c r="E85" s="9"/>
      <c r="F85" s="11">
        <f>F86</f>
        <v>39</v>
      </c>
      <c r="G85" s="12">
        <f>G86</f>
        <v>10</v>
      </c>
      <c r="H85" s="12">
        <f>H86</f>
        <v>10</v>
      </c>
      <c r="I85" s="66">
        <f>I86</f>
        <v>10</v>
      </c>
      <c r="J85" s="75"/>
      <c r="K85" s="73"/>
    </row>
    <row r="86" spans="1:11" s="37" customFormat="1" ht="31.5">
      <c r="A86" s="97" t="s">
        <v>72</v>
      </c>
      <c r="B86" s="19" t="s">
        <v>6</v>
      </c>
      <c r="C86" s="19" t="s">
        <v>13</v>
      </c>
      <c r="D86" s="19" t="s">
        <v>109</v>
      </c>
      <c r="E86" s="19"/>
      <c r="F86" s="14">
        <f>F88</f>
        <v>39</v>
      </c>
      <c r="G86" s="15">
        <f aca="true" t="shared" si="3" ref="G86:I87">G87</f>
        <v>10</v>
      </c>
      <c r="H86" s="15">
        <f t="shared" si="3"/>
        <v>10</v>
      </c>
      <c r="I86" s="71">
        <f t="shared" si="3"/>
        <v>10</v>
      </c>
      <c r="J86" s="75"/>
      <c r="K86" s="73"/>
    </row>
    <row r="87" spans="1:11" s="37" customFormat="1" ht="18.75" customHeight="1">
      <c r="A87" s="35" t="s">
        <v>43</v>
      </c>
      <c r="B87" s="19" t="s">
        <v>6</v>
      </c>
      <c r="C87" s="19" t="s">
        <v>13</v>
      </c>
      <c r="D87" s="19" t="s">
        <v>110</v>
      </c>
      <c r="E87" s="19"/>
      <c r="F87" s="14">
        <f>F88</f>
        <v>39</v>
      </c>
      <c r="G87" s="15">
        <f t="shared" si="3"/>
        <v>10</v>
      </c>
      <c r="H87" s="15">
        <f t="shared" si="3"/>
        <v>10</v>
      </c>
      <c r="I87" s="71">
        <f t="shared" si="3"/>
        <v>10</v>
      </c>
      <c r="J87" s="75"/>
      <c r="K87" s="73"/>
    </row>
    <row r="88" spans="1:11" s="37" customFormat="1" ht="18" customHeight="1">
      <c r="A88" s="35" t="s">
        <v>211</v>
      </c>
      <c r="B88" s="19" t="s">
        <v>6</v>
      </c>
      <c r="C88" s="19" t="s">
        <v>13</v>
      </c>
      <c r="D88" s="19" t="s">
        <v>110</v>
      </c>
      <c r="E88" s="38" t="s">
        <v>210</v>
      </c>
      <c r="F88" s="14">
        <v>39</v>
      </c>
      <c r="G88" s="15">
        <v>10</v>
      </c>
      <c r="H88" s="15">
        <v>10</v>
      </c>
      <c r="I88" s="71">
        <v>10</v>
      </c>
      <c r="J88" s="75"/>
      <c r="K88" s="73"/>
    </row>
    <row r="89" spans="1:11" s="37" customFormat="1" ht="15.75">
      <c r="A89" s="98" t="s">
        <v>17</v>
      </c>
      <c r="B89" s="9" t="s">
        <v>6</v>
      </c>
      <c r="C89" s="9" t="s">
        <v>51</v>
      </c>
      <c r="D89" s="9"/>
      <c r="E89" s="9"/>
      <c r="F89" s="11" t="e">
        <f>F98+F101+F104+#REF!+#REF!</f>
        <v>#REF!</v>
      </c>
      <c r="G89" s="12">
        <f>G90+G94+G98+G101+G104+G134+G122+G113+G107+G110</f>
        <v>33895.233</v>
      </c>
      <c r="H89" s="12">
        <f>H90+H94+H98+H101+H104+H134+H122+H113+H107+H110</f>
        <v>34331.9</v>
      </c>
      <c r="I89" s="12">
        <f>I90+I94+I98+I101+I104+I134+I122+I113+I107+I110</f>
        <v>35522.600000000006</v>
      </c>
      <c r="J89" s="75"/>
      <c r="K89" s="73"/>
    </row>
    <row r="90" spans="1:11" s="3" customFormat="1" ht="78.75" hidden="1">
      <c r="A90" s="43" t="s">
        <v>283</v>
      </c>
      <c r="B90" s="19" t="s">
        <v>6</v>
      </c>
      <c r="C90" s="19" t="s">
        <v>51</v>
      </c>
      <c r="D90" s="19" t="s">
        <v>111</v>
      </c>
      <c r="E90" s="19"/>
      <c r="F90" s="14"/>
      <c r="G90" s="15">
        <f>G91</f>
        <v>0</v>
      </c>
      <c r="H90" s="15">
        <f>H91</f>
        <v>0</v>
      </c>
      <c r="I90" s="71">
        <f>I91</f>
        <v>0</v>
      </c>
      <c r="J90" s="32"/>
      <c r="K90" s="73"/>
    </row>
    <row r="91" spans="1:11" s="3" customFormat="1" ht="31.5" customHeight="1" hidden="1">
      <c r="A91" s="36" t="s">
        <v>74</v>
      </c>
      <c r="B91" s="19" t="s">
        <v>6</v>
      </c>
      <c r="C91" s="19" t="s">
        <v>51</v>
      </c>
      <c r="D91" s="19" t="s">
        <v>112</v>
      </c>
      <c r="E91" s="19"/>
      <c r="F91" s="14"/>
      <c r="G91" s="15">
        <f>G92+G93</f>
        <v>0</v>
      </c>
      <c r="H91" s="15">
        <f>H92+H93</f>
        <v>0</v>
      </c>
      <c r="I91" s="71">
        <f>I92+I93</f>
        <v>0</v>
      </c>
      <c r="J91" s="32"/>
      <c r="K91" s="73"/>
    </row>
    <row r="92" spans="1:11" s="3" customFormat="1" ht="31.5" customHeight="1" hidden="1">
      <c r="A92" s="35" t="s">
        <v>70</v>
      </c>
      <c r="B92" s="19" t="s">
        <v>6</v>
      </c>
      <c r="C92" s="19" t="s">
        <v>51</v>
      </c>
      <c r="D92" s="19" t="s">
        <v>112</v>
      </c>
      <c r="E92" s="19" t="s">
        <v>69</v>
      </c>
      <c r="F92" s="14"/>
      <c r="G92" s="15"/>
      <c r="H92" s="15"/>
      <c r="I92" s="71"/>
      <c r="J92" s="32"/>
      <c r="K92" s="73"/>
    </row>
    <row r="93" spans="1:11" s="3" customFormat="1" ht="31.5" customHeight="1" hidden="1">
      <c r="A93" s="46" t="s">
        <v>60</v>
      </c>
      <c r="B93" s="19" t="s">
        <v>6</v>
      </c>
      <c r="C93" s="19" t="s">
        <v>51</v>
      </c>
      <c r="D93" s="19" t="s">
        <v>112</v>
      </c>
      <c r="E93" s="19" t="s">
        <v>59</v>
      </c>
      <c r="F93" s="14"/>
      <c r="G93" s="15"/>
      <c r="H93" s="15"/>
      <c r="I93" s="71"/>
      <c r="J93" s="32"/>
      <c r="K93" s="73"/>
    </row>
    <row r="94" spans="1:11" s="3" customFormat="1" ht="60.75" customHeight="1" hidden="1">
      <c r="A94" s="49" t="s">
        <v>282</v>
      </c>
      <c r="B94" s="19" t="s">
        <v>6</v>
      </c>
      <c r="C94" s="19" t="s">
        <v>51</v>
      </c>
      <c r="D94" s="19" t="s">
        <v>113</v>
      </c>
      <c r="E94" s="19"/>
      <c r="F94" s="14"/>
      <c r="G94" s="15">
        <f>G95</f>
        <v>0</v>
      </c>
      <c r="H94" s="15">
        <f>H95</f>
        <v>0</v>
      </c>
      <c r="I94" s="71">
        <f>I95</f>
        <v>0</v>
      </c>
      <c r="J94" s="32"/>
      <c r="K94" s="73"/>
    </row>
    <row r="95" spans="1:11" s="3" customFormat="1" ht="31.5" hidden="1">
      <c r="A95" s="36" t="s">
        <v>171</v>
      </c>
      <c r="B95" s="19" t="s">
        <v>6</v>
      </c>
      <c r="C95" s="19" t="s">
        <v>51</v>
      </c>
      <c r="D95" s="19" t="s">
        <v>114</v>
      </c>
      <c r="E95" s="19"/>
      <c r="F95" s="14"/>
      <c r="G95" s="15">
        <f>G96+G97</f>
        <v>0</v>
      </c>
      <c r="H95" s="15">
        <f>H96+H97</f>
        <v>0</v>
      </c>
      <c r="I95" s="71">
        <f>I96+I97</f>
        <v>0</v>
      </c>
      <c r="J95" s="32"/>
      <c r="K95" s="73"/>
    </row>
    <row r="96" spans="1:11" s="3" customFormat="1" ht="47.25" hidden="1">
      <c r="A96" s="35" t="s">
        <v>70</v>
      </c>
      <c r="B96" s="19" t="s">
        <v>6</v>
      </c>
      <c r="C96" s="19" t="s">
        <v>51</v>
      </c>
      <c r="D96" s="19" t="s">
        <v>114</v>
      </c>
      <c r="E96" s="19" t="s">
        <v>69</v>
      </c>
      <c r="F96" s="21"/>
      <c r="G96" s="15">
        <f>18-18</f>
        <v>0</v>
      </c>
      <c r="H96" s="15">
        <f>25-25</f>
        <v>0</v>
      </c>
      <c r="I96" s="71"/>
      <c r="J96" s="32"/>
      <c r="K96" s="73"/>
    </row>
    <row r="97" spans="1:11" s="3" customFormat="1" ht="31.5" hidden="1">
      <c r="A97" s="36" t="s">
        <v>60</v>
      </c>
      <c r="B97" s="19" t="s">
        <v>6</v>
      </c>
      <c r="C97" s="19" t="s">
        <v>51</v>
      </c>
      <c r="D97" s="19" t="s">
        <v>114</v>
      </c>
      <c r="E97" s="19" t="s">
        <v>59</v>
      </c>
      <c r="F97" s="21"/>
      <c r="G97" s="15"/>
      <c r="H97" s="15"/>
      <c r="I97" s="71"/>
      <c r="J97" s="32"/>
      <c r="K97" s="73"/>
    </row>
    <row r="98" spans="1:11" s="3" customFormat="1" ht="63">
      <c r="A98" s="50" t="s">
        <v>281</v>
      </c>
      <c r="B98" s="19" t="s">
        <v>6</v>
      </c>
      <c r="C98" s="19" t="s">
        <v>51</v>
      </c>
      <c r="D98" s="19" t="s">
        <v>115</v>
      </c>
      <c r="E98" s="19"/>
      <c r="F98" s="21"/>
      <c r="G98" s="15">
        <f aca="true" t="shared" si="4" ref="G98:I99">G99</f>
        <v>15</v>
      </c>
      <c r="H98" s="15">
        <f t="shared" si="4"/>
        <v>5</v>
      </c>
      <c r="I98" s="71">
        <f t="shared" si="4"/>
        <v>0</v>
      </c>
      <c r="J98" s="73"/>
      <c r="K98" s="73"/>
    </row>
    <row r="99" spans="1:11" s="3" customFormat="1" ht="31.5">
      <c r="A99" s="36" t="s">
        <v>75</v>
      </c>
      <c r="B99" s="23" t="s">
        <v>6</v>
      </c>
      <c r="C99" s="23" t="s">
        <v>51</v>
      </c>
      <c r="D99" s="23" t="s">
        <v>116</v>
      </c>
      <c r="E99" s="23"/>
      <c r="F99" s="21"/>
      <c r="G99" s="15">
        <f t="shared" si="4"/>
        <v>15</v>
      </c>
      <c r="H99" s="15">
        <f t="shared" si="4"/>
        <v>5</v>
      </c>
      <c r="I99" s="71">
        <f t="shared" si="4"/>
        <v>0</v>
      </c>
      <c r="J99" s="32"/>
      <c r="K99" s="73"/>
    </row>
    <row r="100" spans="1:11" s="3" customFormat="1" ht="47.25">
      <c r="A100" s="35" t="s">
        <v>70</v>
      </c>
      <c r="B100" s="19" t="s">
        <v>6</v>
      </c>
      <c r="C100" s="19" t="s">
        <v>51</v>
      </c>
      <c r="D100" s="19" t="s">
        <v>116</v>
      </c>
      <c r="E100" s="19" t="s">
        <v>69</v>
      </c>
      <c r="F100" s="21"/>
      <c r="G100" s="15">
        <v>15</v>
      </c>
      <c r="H100" s="15">
        <v>5</v>
      </c>
      <c r="I100" s="71"/>
      <c r="J100" s="32"/>
      <c r="K100" s="73"/>
    </row>
    <row r="101" spans="1:11" s="3" customFormat="1" ht="94.5">
      <c r="A101" s="48" t="s">
        <v>280</v>
      </c>
      <c r="B101" s="19" t="s">
        <v>6</v>
      </c>
      <c r="C101" s="19" t="s">
        <v>51</v>
      </c>
      <c r="D101" s="19" t="s">
        <v>117</v>
      </c>
      <c r="E101" s="19"/>
      <c r="F101" s="21"/>
      <c r="G101" s="15">
        <f aca="true" t="shared" si="5" ref="G101:I102">G102</f>
        <v>15</v>
      </c>
      <c r="H101" s="15">
        <f t="shared" si="5"/>
        <v>0</v>
      </c>
      <c r="I101" s="71">
        <f t="shared" si="5"/>
        <v>0</v>
      </c>
      <c r="J101" s="32"/>
      <c r="K101" s="73"/>
    </row>
    <row r="102" spans="1:11" s="3" customFormat="1" ht="31.5">
      <c r="A102" s="36" t="s">
        <v>100</v>
      </c>
      <c r="B102" s="19" t="s">
        <v>6</v>
      </c>
      <c r="C102" s="19" t="s">
        <v>51</v>
      </c>
      <c r="D102" s="19" t="s">
        <v>118</v>
      </c>
      <c r="E102" s="19"/>
      <c r="F102" s="21"/>
      <c r="G102" s="15">
        <f t="shared" si="5"/>
        <v>15</v>
      </c>
      <c r="H102" s="15">
        <f t="shared" si="5"/>
        <v>0</v>
      </c>
      <c r="I102" s="71">
        <f t="shared" si="5"/>
        <v>0</v>
      </c>
      <c r="J102" s="32"/>
      <c r="K102" s="73"/>
    </row>
    <row r="103" spans="1:11" s="3" customFormat="1" ht="51" customHeight="1">
      <c r="A103" s="35" t="s">
        <v>70</v>
      </c>
      <c r="B103" s="19" t="s">
        <v>6</v>
      </c>
      <c r="C103" s="19" t="s">
        <v>51</v>
      </c>
      <c r="D103" s="19" t="s">
        <v>118</v>
      </c>
      <c r="E103" s="19" t="s">
        <v>69</v>
      </c>
      <c r="F103" s="21"/>
      <c r="G103" s="15">
        <v>15</v>
      </c>
      <c r="H103" s="15"/>
      <c r="I103" s="71"/>
      <c r="J103" s="32"/>
      <c r="K103" s="73"/>
    </row>
    <row r="104" spans="1:11" s="3" customFormat="1" ht="63">
      <c r="A104" s="51" t="s">
        <v>279</v>
      </c>
      <c r="B104" s="19" t="s">
        <v>6</v>
      </c>
      <c r="C104" s="19" t="s">
        <v>51</v>
      </c>
      <c r="D104" s="19" t="s">
        <v>119</v>
      </c>
      <c r="E104" s="19"/>
      <c r="F104" s="21"/>
      <c r="G104" s="15">
        <f aca="true" t="shared" si="6" ref="G104:I105">G105</f>
        <v>23.012999999999998</v>
      </c>
      <c r="H104" s="15">
        <f t="shared" si="6"/>
        <v>10</v>
      </c>
      <c r="I104" s="71">
        <f t="shared" si="6"/>
        <v>0</v>
      </c>
      <c r="J104" s="32"/>
      <c r="K104" s="73"/>
    </row>
    <row r="105" spans="1:11" s="3" customFormat="1" ht="31.5">
      <c r="A105" s="36" t="s">
        <v>76</v>
      </c>
      <c r="B105" s="19" t="s">
        <v>6</v>
      </c>
      <c r="C105" s="19" t="s">
        <v>51</v>
      </c>
      <c r="D105" s="19" t="s">
        <v>120</v>
      </c>
      <c r="E105" s="19"/>
      <c r="F105" s="21"/>
      <c r="G105" s="15">
        <f t="shared" si="6"/>
        <v>23.012999999999998</v>
      </c>
      <c r="H105" s="15">
        <f t="shared" si="6"/>
        <v>10</v>
      </c>
      <c r="I105" s="71">
        <f t="shared" si="6"/>
        <v>0</v>
      </c>
      <c r="J105" s="32"/>
      <c r="K105" s="73"/>
    </row>
    <row r="106" spans="1:11" s="3" customFormat="1" ht="47.25">
      <c r="A106" s="35" t="s">
        <v>70</v>
      </c>
      <c r="B106" s="19" t="s">
        <v>6</v>
      </c>
      <c r="C106" s="19" t="s">
        <v>51</v>
      </c>
      <c r="D106" s="19" t="s">
        <v>120</v>
      </c>
      <c r="E106" s="19" t="s">
        <v>69</v>
      </c>
      <c r="F106" s="21"/>
      <c r="G106" s="15">
        <f>62-38.987</f>
        <v>23.012999999999998</v>
      </c>
      <c r="H106" s="15">
        <v>10</v>
      </c>
      <c r="I106" s="71"/>
      <c r="J106" s="32"/>
      <c r="K106" s="73"/>
    </row>
    <row r="107" spans="1:11" s="3" customFormat="1" ht="63">
      <c r="A107" s="60" t="s">
        <v>291</v>
      </c>
      <c r="B107" s="19" t="s">
        <v>6</v>
      </c>
      <c r="C107" s="19" t="s">
        <v>51</v>
      </c>
      <c r="D107" s="19" t="s">
        <v>289</v>
      </c>
      <c r="E107" s="19"/>
      <c r="F107" s="21"/>
      <c r="G107" s="15">
        <f aca="true" t="shared" si="7" ref="G107:I108">G108</f>
        <v>15</v>
      </c>
      <c r="H107" s="15">
        <f t="shared" si="7"/>
        <v>0</v>
      </c>
      <c r="I107" s="71">
        <f t="shared" si="7"/>
        <v>0</v>
      </c>
      <c r="J107" s="32"/>
      <c r="K107" s="73"/>
    </row>
    <row r="108" spans="1:11" s="3" customFormat="1" ht="31.5">
      <c r="A108" s="61" t="s">
        <v>171</v>
      </c>
      <c r="B108" s="19" t="s">
        <v>6</v>
      </c>
      <c r="C108" s="19" t="s">
        <v>51</v>
      </c>
      <c r="D108" s="19" t="s">
        <v>290</v>
      </c>
      <c r="E108" s="19"/>
      <c r="F108" s="21"/>
      <c r="G108" s="15">
        <f t="shared" si="7"/>
        <v>15</v>
      </c>
      <c r="H108" s="15">
        <f t="shared" si="7"/>
        <v>0</v>
      </c>
      <c r="I108" s="71">
        <f t="shared" si="7"/>
        <v>0</v>
      </c>
      <c r="J108" s="32"/>
      <c r="K108" s="73"/>
    </row>
    <row r="109" spans="1:11" s="3" customFormat="1" ht="47.25">
      <c r="A109" s="54" t="s">
        <v>70</v>
      </c>
      <c r="B109" s="19" t="s">
        <v>6</v>
      </c>
      <c r="C109" s="19" t="s">
        <v>51</v>
      </c>
      <c r="D109" s="19" t="s">
        <v>290</v>
      </c>
      <c r="E109" s="19" t="s">
        <v>69</v>
      </c>
      <c r="F109" s="21"/>
      <c r="G109" s="15">
        <v>15</v>
      </c>
      <c r="H109" s="15"/>
      <c r="I109" s="71"/>
      <c r="J109" s="32"/>
      <c r="K109" s="73"/>
    </row>
    <row r="110" spans="1:11" s="3" customFormat="1" ht="63">
      <c r="A110" s="99" t="s">
        <v>294</v>
      </c>
      <c r="B110" s="23" t="s">
        <v>6</v>
      </c>
      <c r="C110" s="23" t="s">
        <v>51</v>
      </c>
      <c r="D110" s="23" t="s">
        <v>292</v>
      </c>
      <c r="E110" s="23"/>
      <c r="F110" s="21"/>
      <c r="G110" s="15">
        <f aca="true" t="shared" si="8" ref="G110:I111">G111</f>
        <v>650</v>
      </c>
      <c r="H110" s="15">
        <f t="shared" si="8"/>
        <v>100</v>
      </c>
      <c r="I110" s="71">
        <f t="shared" si="8"/>
        <v>150</v>
      </c>
      <c r="J110" s="32"/>
      <c r="K110" s="73"/>
    </row>
    <row r="111" spans="1:11" s="3" customFormat="1" ht="47.25">
      <c r="A111" s="35" t="s">
        <v>295</v>
      </c>
      <c r="B111" s="23" t="s">
        <v>6</v>
      </c>
      <c r="C111" s="23" t="s">
        <v>51</v>
      </c>
      <c r="D111" s="23" t="s">
        <v>293</v>
      </c>
      <c r="E111" s="23"/>
      <c r="F111" s="21"/>
      <c r="G111" s="15">
        <f t="shared" si="8"/>
        <v>650</v>
      </c>
      <c r="H111" s="15">
        <f t="shared" si="8"/>
        <v>100</v>
      </c>
      <c r="I111" s="71">
        <f t="shared" si="8"/>
        <v>150</v>
      </c>
      <c r="J111" s="32"/>
      <c r="K111" s="73"/>
    </row>
    <row r="112" spans="1:11" s="3" customFormat="1" ht="47.25">
      <c r="A112" s="35" t="s">
        <v>70</v>
      </c>
      <c r="B112" s="23" t="s">
        <v>6</v>
      </c>
      <c r="C112" s="23" t="s">
        <v>51</v>
      </c>
      <c r="D112" s="23" t="s">
        <v>293</v>
      </c>
      <c r="E112" s="23" t="s">
        <v>69</v>
      </c>
      <c r="F112" s="21"/>
      <c r="G112" s="15">
        <v>650</v>
      </c>
      <c r="H112" s="15">
        <v>100</v>
      </c>
      <c r="I112" s="71">
        <v>150</v>
      </c>
      <c r="J112" s="32"/>
      <c r="K112" s="73"/>
    </row>
    <row r="113" spans="1:11" s="37" customFormat="1" ht="47.25" customHeight="1">
      <c r="A113" s="52" t="s">
        <v>278</v>
      </c>
      <c r="B113" s="19" t="s">
        <v>6</v>
      </c>
      <c r="C113" s="19" t="s">
        <v>51</v>
      </c>
      <c r="D113" s="23" t="s">
        <v>150</v>
      </c>
      <c r="E113" s="23"/>
      <c r="F113" s="11"/>
      <c r="G113" s="26">
        <f>G114</f>
        <v>6824.28</v>
      </c>
      <c r="H113" s="26">
        <f>H114</f>
        <v>7465.200000000001</v>
      </c>
      <c r="I113" s="68">
        <f>I114</f>
        <v>7565.200000000001</v>
      </c>
      <c r="J113" s="75"/>
      <c r="K113" s="73"/>
    </row>
    <row r="114" spans="1:11" s="37" customFormat="1" ht="31.5">
      <c r="A114" s="35" t="s">
        <v>201</v>
      </c>
      <c r="B114" s="19" t="s">
        <v>6</v>
      </c>
      <c r="C114" s="19" t="s">
        <v>51</v>
      </c>
      <c r="D114" s="23" t="s">
        <v>151</v>
      </c>
      <c r="E114" s="23"/>
      <c r="F114" s="11"/>
      <c r="G114" s="26">
        <f>G115+G116+G118+G119+G120+G117+G121</f>
        <v>6824.28</v>
      </c>
      <c r="H114" s="26">
        <f>H115+H116+H118+H119+H120+H117+H121</f>
        <v>7465.200000000001</v>
      </c>
      <c r="I114" s="68">
        <f>I115+I116+I118+I119+I120+I117+I121</f>
        <v>7565.200000000001</v>
      </c>
      <c r="J114" s="75"/>
      <c r="K114" s="73"/>
    </row>
    <row r="115" spans="1:11" s="37" customFormat="1" ht="15.75">
      <c r="A115" s="35" t="s">
        <v>172</v>
      </c>
      <c r="B115" s="19" t="s">
        <v>6</v>
      </c>
      <c r="C115" s="19" t="s">
        <v>51</v>
      </c>
      <c r="D115" s="23" t="s">
        <v>151</v>
      </c>
      <c r="E115" s="23" t="s">
        <v>80</v>
      </c>
      <c r="F115" s="11"/>
      <c r="G115" s="26">
        <f>5185.4+100</f>
        <v>5285.4</v>
      </c>
      <c r="H115" s="26">
        <v>5656.8</v>
      </c>
      <c r="I115" s="68">
        <v>5656.8</v>
      </c>
      <c r="J115" s="75"/>
      <c r="K115" s="73"/>
    </row>
    <row r="116" spans="1:11" s="37" customFormat="1" ht="47.25" hidden="1">
      <c r="A116" s="35" t="s">
        <v>77</v>
      </c>
      <c r="B116" s="19" t="s">
        <v>6</v>
      </c>
      <c r="C116" s="19" t="s">
        <v>51</v>
      </c>
      <c r="D116" s="23" t="s">
        <v>151</v>
      </c>
      <c r="E116" s="23" t="s">
        <v>61</v>
      </c>
      <c r="F116" s="11"/>
      <c r="G116" s="26"/>
      <c r="H116" s="26"/>
      <c r="I116" s="68"/>
      <c r="J116" s="75"/>
      <c r="K116" s="73"/>
    </row>
    <row r="117" spans="1:11" s="37" customFormat="1" ht="63">
      <c r="A117" s="97" t="s">
        <v>173</v>
      </c>
      <c r="B117" s="19" t="s">
        <v>6</v>
      </c>
      <c r="C117" s="19" t="s">
        <v>51</v>
      </c>
      <c r="D117" s="23" t="s">
        <v>151</v>
      </c>
      <c r="E117" s="23" t="s">
        <v>136</v>
      </c>
      <c r="F117" s="11"/>
      <c r="G117" s="26">
        <f>1318.3-5-0.1+100</f>
        <v>1413.2</v>
      </c>
      <c r="H117" s="26">
        <v>1708.4</v>
      </c>
      <c r="I117" s="68">
        <v>1708.4</v>
      </c>
      <c r="J117" s="75"/>
      <c r="K117" s="73"/>
    </row>
    <row r="118" spans="1:11" s="37" customFormat="1" ht="47.25">
      <c r="A118" s="35" t="s">
        <v>70</v>
      </c>
      <c r="B118" s="19" t="s">
        <v>6</v>
      </c>
      <c r="C118" s="19" t="s">
        <v>51</v>
      </c>
      <c r="D118" s="23" t="s">
        <v>151</v>
      </c>
      <c r="E118" s="23" t="s">
        <v>69</v>
      </c>
      <c r="F118" s="11"/>
      <c r="G118" s="26">
        <f>84+5+36.58</f>
        <v>125.58</v>
      </c>
      <c r="H118" s="26">
        <v>100</v>
      </c>
      <c r="I118" s="68">
        <v>200</v>
      </c>
      <c r="J118" s="75"/>
      <c r="K118" s="73"/>
    </row>
    <row r="119" spans="1:11" s="37" customFormat="1" ht="31.5">
      <c r="A119" s="36" t="s">
        <v>71</v>
      </c>
      <c r="B119" s="19" t="s">
        <v>6</v>
      </c>
      <c r="C119" s="19" t="s">
        <v>51</v>
      </c>
      <c r="D119" s="23" t="s">
        <v>151</v>
      </c>
      <c r="E119" s="24" t="s">
        <v>73</v>
      </c>
      <c r="F119" s="11"/>
      <c r="G119" s="26"/>
      <c r="H119" s="26"/>
      <c r="I119" s="68"/>
      <c r="J119" s="75"/>
      <c r="K119" s="73"/>
    </row>
    <row r="120" spans="1:11" s="37" customFormat="1" ht="31.5">
      <c r="A120" s="36" t="s">
        <v>78</v>
      </c>
      <c r="B120" s="19" t="s">
        <v>6</v>
      </c>
      <c r="C120" s="19" t="s">
        <v>51</v>
      </c>
      <c r="D120" s="23" t="s">
        <v>151</v>
      </c>
      <c r="E120" s="24" t="s">
        <v>81</v>
      </c>
      <c r="F120" s="11"/>
      <c r="G120" s="26"/>
      <c r="H120" s="26"/>
      <c r="I120" s="68"/>
      <c r="J120" s="75"/>
      <c r="K120" s="73"/>
    </row>
    <row r="121" spans="1:11" s="37" customFormat="1" ht="15.75" customHeight="1">
      <c r="A121" s="61" t="s">
        <v>195</v>
      </c>
      <c r="B121" s="19" t="s">
        <v>6</v>
      </c>
      <c r="C121" s="19" t="s">
        <v>51</v>
      </c>
      <c r="D121" s="23" t="s">
        <v>151</v>
      </c>
      <c r="E121" s="24" t="s">
        <v>193</v>
      </c>
      <c r="F121" s="11"/>
      <c r="G121" s="26">
        <v>0.1</v>
      </c>
      <c r="H121" s="26"/>
      <c r="I121" s="68"/>
      <c r="J121" s="75"/>
      <c r="K121" s="73"/>
    </row>
    <row r="122" spans="1:11" s="3" customFormat="1" ht="94.5" customHeight="1">
      <c r="A122" s="52" t="s">
        <v>276</v>
      </c>
      <c r="B122" s="19" t="s">
        <v>6</v>
      </c>
      <c r="C122" s="19" t="s">
        <v>51</v>
      </c>
      <c r="D122" s="19" t="s">
        <v>122</v>
      </c>
      <c r="E122" s="19"/>
      <c r="F122" s="21"/>
      <c r="G122" s="15">
        <f>G123</f>
        <v>13989.38</v>
      </c>
      <c r="H122" s="15">
        <f>H123</f>
        <v>13626.7</v>
      </c>
      <c r="I122" s="71">
        <f>I123</f>
        <v>14626.7</v>
      </c>
      <c r="J122" s="32"/>
      <c r="K122" s="73"/>
    </row>
    <row r="123" spans="1:11" s="3" customFormat="1" ht="31.5">
      <c r="A123" s="54" t="s">
        <v>202</v>
      </c>
      <c r="B123" s="19" t="s">
        <v>6</v>
      </c>
      <c r="C123" s="19" t="s">
        <v>51</v>
      </c>
      <c r="D123" s="19" t="s">
        <v>177</v>
      </c>
      <c r="E123" s="19"/>
      <c r="F123" s="21"/>
      <c r="G123" s="15">
        <f>G124+G125+G126+G128+G130+G131+G132+G127+I133+G133+G129</f>
        <v>13989.38</v>
      </c>
      <c r="H123" s="15">
        <f>H124+H125+H126+H128+H130+H131+H132+H127+J133+H133+H129</f>
        <v>13626.7</v>
      </c>
      <c r="I123" s="15">
        <f>I124+I125+I126+I128+I130+I131+I132+I127+K133+I133+I129</f>
        <v>14626.7</v>
      </c>
      <c r="J123" s="32"/>
      <c r="K123" s="73"/>
    </row>
    <row r="124" spans="1:11" s="3" customFormat="1" ht="15.75">
      <c r="A124" s="54" t="s">
        <v>172</v>
      </c>
      <c r="B124" s="19" t="s">
        <v>6</v>
      </c>
      <c r="C124" s="19" t="s">
        <v>51</v>
      </c>
      <c r="D124" s="19" t="s">
        <v>177</v>
      </c>
      <c r="E124" s="19" t="s">
        <v>80</v>
      </c>
      <c r="F124" s="21"/>
      <c r="G124" s="15">
        <f>7500+200</f>
        <v>7700</v>
      </c>
      <c r="H124" s="15">
        <v>8161.8</v>
      </c>
      <c r="I124" s="71">
        <v>8161.8</v>
      </c>
      <c r="J124" s="32"/>
      <c r="K124" s="73"/>
    </row>
    <row r="125" spans="1:11" s="3" customFormat="1" ht="30.75" customHeight="1" hidden="1">
      <c r="A125" s="54" t="s">
        <v>77</v>
      </c>
      <c r="B125" s="19" t="s">
        <v>6</v>
      </c>
      <c r="C125" s="19" t="s">
        <v>51</v>
      </c>
      <c r="D125" s="19" t="s">
        <v>177</v>
      </c>
      <c r="E125" s="19" t="s">
        <v>61</v>
      </c>
      <c r="F125" s="21"/>
      <c r="G125" s="15"/>
      <c r="H125" s="15"/>
      <c r="I125" s="71"/>
      <c r="J125" s="32"/>
      <c r="K125" s="73"/>
    </row>
    <row r="126" spans="1:11" s="3" customFormat="1" ht="63">
      <c r="A126" s="97" t="s">
        <v>173</v>
      </c>
      <c r="B126" s="19" t="s">
        <v>6</v>
      </c>
      <c r="C126" s="19" t="s">
        <v>51</v>
      </c>
      <c r="D126" s="19" t="s">
        <v>177</v>
      </c>
      <c r="E126" s="19" t="s">
        <v>136</v>
      </c>
      <c r="F126" s="21"/>
      <c r="G126" s="15">
        <f>1902.1-240-600+800</f>
        <v>1862.1</v>
      </c>
      <c r="H126" s="15">
        <v>2464.9</v>
      </c>
      <c r="I126" s="71">
        <v>2464.9</v>
      </c>
      <c r="J126" s="32"/>
      <c r="K126" s="73"/>
    </row>
    <row r="127" spans="1:11" s="3" customFormat="1" ht="47.25" hidden="1">
      <c r="A127" s="97" t="s">
        <v>95</v>
      </c>
      <c r="B127" s="19" t="s">
        <v>6</v>
      </c>
      <c r="C127" s="19" t="s">
        <v>51</v>
      </c>
      <c r="D127" s="19" t="s">
        <v>177</v>
      </c>
      <c r="E127" s="19" t="s">
        <v>94</v>
      </c>
      <c r="F127" s="21"/>
      <c r="G127" s="15"/>
      <c r="H127" s="15"/>
      <c r="I127" s="71"/>
      <c r="J127" s="32"/>
      <c r="K127" s="73"/>
    </row>
    <row r="128" spans="1:11" s="3" customFormat="1" ht="47.25">
      <c r="A128" s="54" t="s">
        <v>70</v>
      </c>
      <c r="B128" s="19" t="s">
        <v>6</v>
      </c>
      <c r="C128" s="19" t="s">
        <v>51</v>
      </c>
      <c r="D128" s="19" t="s">
        <v>177</v>
      </c>
      <c r="E128" s="38" t="s">
        <v>69</v>
      </c>
      <c r="F128" s="21"/>
      <c r="G128" s="15">
        <f>3000-1473.5+240+204+4.934+56+60+100</f>
        <v>2191.434</v>
      </c>
      <c r="H128" s="15">
        <f>3000-1473.5</f>
        <v>1526.5</v>
      </c>
      <c r="I128" s="71">
        <f>4000-1973.5</f>
        <v>2026.5</v>
      </c>
      <c r="J128" s="32"/>
      <c r="K128" s="73"/>
    </row>
    <row r="129" spans="1:11" s="3" customFormat="1" ht="15.75">
      <c r="A129" s="61" t="s">
        <v>392</v>
      </c>
      <c r="B129" s="19" t="s">
        <v>6</v>
      </c>
      <c r="C129" s="19" t="s">
        <v>51</v>
      </c>
      <c r="D129" s="19" t="s">
        <v>177</v>
      </c>
      <c r="E129" s="38" t="s">
        <v>391</v>
      </c>
      <c r="F129" s="21"/>
      <c r="G129" s="15">
        <f>1473.5+71.661+626.827-4.934-53</f>
        <v>2114.054</v>
      </c>
      <c r="H129" s="15">
        <v>1473.5</v>
      </c>
      <c r="I129" s="71">
        <v>1973.5</v>
      </c>
      <c r="J129" s="32"/>
      <c r="K129" s="73"/>
    </row>
    <row r="130" spans="1:11" s="3" customFormat="1" ht="31.5">
      <c r="A130" s="61" t="s">
        <v>71</v>
      </c>
      <c r="B130" s="19" t="s">
        <v>6</v>
      </c>
      <c r="C130" s="19" t="s">
        <v>51</v>
      </c>
      <c r="D130" s="19" t="s">
        <v>177</v>
      </c>
      <c r="E130" s="38" t="s">
        <v>73</v>
      </c>
      <c r="F130" s="21"/>
      <c r="G130" s="15">
        <f>65+21.574+10.293</f>
        <v>96.86699999999999</v>
      </c>
      <c r="H130" s="15"/>
      <c r="I130" s="71"/>
      <c r="J130" s="32"/>
      <c r="K130" s="73"/>
    </row>
    <row r="131" spans="1:11" s="3" customFormat="1" ht="31.5">
      <c r="A131" s="61" t="s">
        <v>78</v>
      </c>
      <c r="B131" s="19" t="s">
        <v>6</v>
      </c>
      <c r="C131" s="19" t="s">
        <v>51</v>
      </c>
      <c r="D131" s="19" t="s">
        <v>177</v>
      </c>
      <c r="E131" s="38" t="s">
        <v>81</v>
      </c>
      <c r="F131" s="21"/>
      <c r="G131" s="15"/>
      <c r="H131" s="15"/>
      <c r="I131" s="71"/>
      <c r="J131" s="32"/>
      <c r="K131" s="73"/>
    </row>
    <row r="132" spans="1:11" s="3" customFormat="1" ht="15.75">
      <c r="A132" s="61" t="s">
        <v>195</v>
      </c>
      <c r="B132" s="19" t="s">
        <v>6</v>
      </c>
      <c r="C132" s="19" t="s">
        <v>51</v>
      </c>
      <c r="D132" s="19" t="s">
        <v>177</v>
      </c>
      <c r="E132" s="38" t="s">
        <v>193</v>
      </c>
      <c r="F132" s="21"/>
      <c r="G132" s="15">
        <f>2+22.925</f>
        <v>24.925</v>
      </c>
      <c r="H132" s="15"/>
      <c r="I132" s="71"/>
      <c r="J132" s="32"/>
      <c r="K132" s="73"/>
    </row>
    <row r="133" spans="1:11" s="3" customFormat="1" ht="47.25">
      <c r="A133" s="61" t="s">
        <v>207</v>
      </c>
      <c r="B133" s="19" t="s">
        <v>6</v>
      </c>
      <c r="C133" s="19" t="s">
        <v>51</v>
      </c>
      <c r="D133" s="19" t="s">
        <v>177</v>
      </c>
      <c r="E133" s="38" t="s">
        <v>82</v>
      </c>
      <c r="F133" s="21"/>
      <c r="H133" s="15"/>
      <c r="I133" s="15"/>
      <c r="J133" s="32"/>
      <c r="K133" s="73"/>
    </row>
    <row r="134" spans="1:11" s="3" customFormat="1" ht="31.5">
      <c r="A134" s="97" t="s">
        <v>72</v>
      </c>
      <c r="B134" s="19" t="s">
        <v>6</v>
      </c>
      <c r="C134" s="19" t="s">
        <v>51</v>
      </c>
      <c r="D134" s="19" t="s">
        <v>109</v>
      </c>
      <c r="E134" s="38"/>
      <c r="F134" s="21"/>
      <c r="G134" s="15">
        <f>G135+G144+G150+G139+G146+G137+G154+G148+G156</f>
        <v>12363.560000000001</v>
      </c>
      <c r="H134" s="15">
        <f>H135+H144+H150+H139+H146+H137+H154+H148+H156</f>
        <v>13125</v>
      </c>
      <c r="I134" s="15">
        <f>I135+I144+I150+I139+I146+I137+I154+I148+I156</f>
        <v>13180.7</v>
      </c>
      <c r="J134" s="32"/>
      <c r="K134" s="73"/>
    </row>
    <row r="135" spans="1:11" s="3" customFormat="1" ht="64.5" customHeight="1">
      <c r="A135" s="62" t="s">
        <v>18</v>
      </c>
      <c r="B135" s="19" t="s">
        <v>6</v>
      </c>
      <c r="C135" s="19" t="s">
        <v>51</v>
      </c>
      <c r="D135" s="19" t="s">
        <v>123</v>
      </c>
      <c r="E135" s="19"/>
      <c r="F135" s="21"/>
      <c r="G135" s="15">
        <f>G136</f>
        <v>50</v>
      </c>
      <c r="H135" s="15">
        <f>H136</f>
        <v>50</v>
      </c>
      <c r="I135" s="71">
        <f>I136</f>
        <v>60</v>
      </c>
      <c r="J135" s="32"/>
      <c r="K135" s="73"/>
    </row>
    <row r="136" spans="1:11" s="3" customFormat="1" ht="47.25">
      <c r="A136" s="35" t="s">
        <v>70</v>
      </c>
      <c r="B136" s="19" t="s">
        <v>6</v>
      </c>
      <c r="C136" s="19" t="s">
        <v>51</v>
      </c>
      <c r="D136" s="19" t="s">
        <v>123</v>
      </c>
      <c r="E136" s="19" t="s">
        <v>69</v>
      </c>
      <c r="F136" s="21"/>
      <c r="G136" s="15">
        <v>50</v>
      </c>
      <c r="H136" s="15">
        <v>50</v>
      </c>
      <c r="I136" s="71">
        <v>60</v>
      </c>
      <c r="J136" s="32"/>
      <c r="K136" s="73"/>
    </row>
    <row r="137" spans="1:11" s="3" customFormat="1" ht="35.25" customHeight="1">
      <c r="A137" s="95" t="s">
        <v>388</v>
      </c>
      <c r="B137" s="19" t="s">
        <v>6</v>
      </c>
      <c r="C137" s="19" t="s">
        <v>51</v>
      </c>
      <c r="D137" s="19" t="s">
        <v>319</v>
      </c>
      <c r="E137" s="19"/>
      <c r="F137" s="21"/>
      <c r="G137" s="15">
        <f>G138</f>
        <v>213.3</v>
      </c>
      <c r="H137" s="15">
        <f>H138</f>
        <v>0</v>
      </c>
      <c r="I137" s="71">
        <f>I138</f>
        <v>0</v>
      </c>
      <c r="J137" s="32"/>
      <c r="K137" s="73"/>
    </row>
    <row r="138" spans="1:11" s="3" customFormat="1" ht="47.25">
      <c r="A138" s="35" t="s">
        <v>70</v>
      </c>
      <c r="B138" s="19" t="s">
        <v>6</v>
      </c>
      <c r="C138" s="19" t="s">
        <v>51</v>
      </c>
      <c r="D138" s="19" t="s">
        <v>319</v>
      </c>
      <c r="E138" s="19" t="s">
        <v>69</v>
      </c>
      <c r="F138" s="21"/>
      <c r="G138" s="15">
        <v>213.3</v>
      </c>
      <c r="H138" s="15"/>
      <c r="I138" s="71"/>
      <c r="J138" s="32"/>
      <c r="K138" s="73"/>
    </row>
    <row r="139" spans="1:11" s="3" customFormat="1" ht="110.25">
      <c r="A139" s="95" t="s">
        <v>237</v>
      </c>
      <c r="B139" s="19" t="s">
        <v>6</v>
      </c>
      <c r="C139" s="19" t="s">
        <v>51</v>
      </c>
      <c r="D139" s="19" t="s">
        <v>124</v>
      </c>
      <c r="E139" s="19"/>
      <c r="F139" s="21"/>
      <c r="G139" s="15">
        <f>G140+G141+G143+G142</f>
        <v>1042.8</v>
      </c>
      <c r="H139" s="15">
        <f>H140+H141+H143+H142</f>
        <v>1037</v>
      </c>
      <c r="I139" s="71">
        <f>I140+I141+I143+I142</f>
        <v>1082.7</v>
      </c>
      <c r="J139" s="32"/>
      <c r="K139" s="73"/>
    </row>
    <row r="140" spans="1:11" s="3" customFormat="1" ht="31.5">
      <c r="A140" s="36" t="s">
        <v>132</v>
      </c>
      <c r="B140" s="19" t="s">
        <v>6</v>
      </c>
      <c r="C140" s="19" t="s">
        <v>51</v>
      </c>
      <c r="D140" s="19" t="s">
        <v>124</v>
      </c>
      <c r="E140" s="19" t="s">
        <v>64</v>
      </c>
      <c r="F140" s="21"/>
      <c r="G140" s="15">
        <v>692.5</v>
      </c>
      <c r="H140" s="15">
        <v>1037</v>
      </c>
      <c r="I140" s="71">
        <v>1082.7</v>
      </c>
      <c r="J140" s="32"/>
      <c r="K140" s="73"/>
    </row>
    <row r="141" spans="1:11" s="3" customFormat="1" ht="48" customHeight="1" hidden="1">
      <c r="A141" s="36" t="s">
        <v>66</v>
      </c>
      <c r="B141" s="19" t="s">
        <v>6</v>
      </c>
      <c r="C141" s="19" t="s">
        <v>51</v>
      </c>
      <c r="D141" s="19" t="s">
        <v>124</v>
      </c>
      <c r="E141" s="19" t="s">
        <v>68</v>
      </c>
      <c r="F141" s="21"/>
      <c r="G141" s="15"/>
      <c r="H141" s="15"/>
      <c r="I141" s="71"/>
      <c r="J141" s="32"/>
      <c r="K141" s="73"/>
    </row>
    <row r="142" spans="1:11" s="3" customFormat="1" ht="48" customHeight="1">
      <c r="A142" s="36" t="s">
        <v>134</v>
      </c>
      <c r="B142" s="19" t="s">
        <v>6</v>
      </c>
      <c r="C142" s="19" t="s">
        <v>51</v>
      </c>
      <c r="D142" s="19" t="s">
        <v>124</v>
      </c>
      <c r="E142" s="19" t="s">
        <v>133</v>
      </c>
      <c r="F142" s="21"/>
      <c r="G142" s="15">
        <v>209.2</v>
      </c>
      <c r="H142" s="15"/>
      <c r="I142" s="71"/>
      <c r="J142" s="32"/>
      <c r="K142" s="73"/>
    </row>
    <row r="143" spans="1:11" s="3" customFormat="1" ht="47.25">
      <c r="A143" s="35" t="s">
        <v>70</v>
      </c>
      <c r="B143" s="19" t="s">
        <v>6</v>
      </c>
      <c r="C143" s="19" t="s">
        <v>51</v>
      </c>
      <c r="D143" s="19" t="s">
        <v>124</v>
      </c>
      <c r="E143" s="38" t="s">
        <v>69</v>
      </c>
      <c r="F143" s="21"/>
      <c r="G143" s="15">
        <v>141.1</v>
      </c>
      <c r="H143" s="15"/>
      <c r="I143" s="71"/>
      <c r="J143" s="32"/>
      <c r="K143" s="73"/>
    </row>
    <row r="144" spans="1:11" s="3" customFormat="1" ht="63">
      <c r="A144" s="36" t="s">
        <v>96</v>
      </c>
      <c r="B144" s="19" t="s">
        <v>6</v>
      </c>
      <c r="C144" s="19" t="s">
        <v>51</v>
      </c>
      <c r="D144" s="19" t="s">
        <v>196</v>
      </c>
      <c r="E144" s="19"/>
      <c r="F144" s="21"/>
      <c r="G144" s="15">
        <f>G145</f>
        <v>0</v>
      </c>
      <c r="H144" s="15">
        <f>H145</f>
        <v>0</v>
      </c>
      <c r="I144" s="71">
        <f>I145</f>
        <v>0</v>
      </c>
      <c r="J144" s="32"/>
      <c r="K144" s="73"/>
    </row>
    <row r="145" spans="1:11" s="3" customFormat="1" ht="47.25">
      <c r="A145" s="35" t="s">
        <v>70</v>
      </c>
      <c r="B145" s="19" t="s">
        <v>6</v>
      </c>
      <c r="C145" s="19" t="s">
        <v>51</v>
      </c>
      <c r="D145" s="19" t="s">
        <v>196</v>
      </c>
      <c r="E145" s="19" t="s">
        <v>69</v>
      </c>
      <c r="F145" s="21"/>
      <c r="G145" s="15"/>
      <c r="H145" s="15"/>
      <c r="I145" s="71"/>
      <c r="J145" s="32"/>
      <c r="K145" s="73"/>
    </row>
    <row r="146" spans="1:11" s="3" customFormat="1" ht="50.25" customHeight="1">
      <c r="A146" s="35" t="s">
        <v>225</v>
      </c>
      <c r="B146" s="23" t="s">
        <v>6</v>
      </c>
      <c r="C146" s="23" t="s">
        <v>51</v>
      </c>
      <c r="D146" s="23" t="s">
        <v>174</v>
      </c>
      <c r="E146" s="23"/>
      <c r="F146" s="21"/>
      <c r="G146" s="15">
        <f>G147</f>
        <v>98.09</v>
      </c>
      <c r="H146" s="15">
        <f>H147</f>
        <v>0</v>
      </c>
      <c r="I146" s="71">
        <f>I147</f>
        <v>0</v>
      </c>
      <c r="J146" s="32"/>
      <c r="K146" s="73"/>
    </row>
    <row r="147" spans="1:11" s="3" customFormat="1" ht="15.75">
      <c r="A147" s="35" t="s">
        <v>56</v>
      </c>
      <c r="B147" s="23" t="s">
        <v>6</v>
      </c>
      <c r="C147" s="23" t="s">
        <v>51</v>
      </c>
      <c r="D147" s="23" t="s">
        <v>174</v>
      </c>
      <c r="E147" s="23" t="s">
        <v>87</v>
      </c>
      <c r="F147" s="21"/>
      <c r="G147" s="15">
        <v>98.09</v>
      </c>
      <c r="H147" s="15"/>
      <c r="I147" s="71"/>
      <c r="J147" s="32"/>
      <c r="K147" s="73"/>
    </row>
    <row r="148" spans="1:11" s="3" customFormat="1" ht="31.5">
      <c r="A148" s="35" t="s">
        <v>162</v>
      </c>
      <c r="B148" s="23" t="s">
        <v>6</v>
      </c>
      <c r="C148" s="23" t="s">
        <v>51</v>
      </c>
      <c r="D148" s="23" t="s">
        <v>163</v>
      </c>
      <c r="E148" s="23"/>
      <c r="F148" s="21"/>
      <c r="G148" s="15">
        <f>G149</f>
        <v>0</v>
      </c>
      <c r="H148" s="15">
        <f>H149</f>
        <v>0</v>
      </c>
      <c r="I148" s="15">
        <f>I149</f>
        <v>0</v>
      </c>
      <c r="J148" s="32"/>
      <c r="K148" s="73"/>
    </row>
    <row r="149" spans="1:11" s="3" customFormat="1" ht="47.25">
      <c r="A149" s="35" t="s">
        <v>70</v>
      </c>
      <c r="B149" s="23" t="s">
        <v>6</v>
      </c>
      <c r="C149" s="23" t="s">
        <v>51</v>
      </c>
      <c r="D149" s="23" t="s">
        <v>163</v>
      </c>
      <c r="E149" s="23" t="s">
        <v>69</v>
      </c>
      <c r="F149" s="21"/>
      <c r="G149" s="15"/>
      <c r="H149" s="15"/>
      <c r="I149" s="71"/>
      <c r="J149" s="32"/>
      <c r="K149" s="73"/>
    </row>
    <row r="150" spans="1:11" s="3" customFormat="1" ht="47.25">
      <c r="A150" s="35" t="s">
        <v>101</v>
      </c>
      <c r="B150" s="19" t="s">
        <v>6</v>
      </c>
      <c r="C150" s="19" t="s">
        <v>51</v>
      </c>
      <c r="D150" s="19" t="s">
        <v>125</v>
      </c>
      <c r="E150" s="19"/>
      <c r="F150" s="21"/>
      <c r="G150" s="15">
        <f>G151+G153+G152</f>
        <v>1150.37</v>
      </c>
      <c r="H150" s="15">
        <f>H151+H153+H152</f>
        <v>0</v>
      </c>
      <c r="I150" s="15">
        <f>I151+I153+I152</f>
        <v>0</v>
      </c>
      <c r="J150" s="32"/>
      <c r="K150" s="73"/>
    </row>
    <row r="151" spans="1:11" s="3" customFormat="1" ht="47.25">
      <c r="A151" s="35" t="s">
        <v>70</v>
      </c>
      <c r="B151" s="19" t="s">
        <v>6</v>
      </c>
      <c r="C151" s="19" t="s">
        <v>51</v>
      </c>
      <c r="D151" s="19" t="s">
        <v>125</v>
      </c>
      <c r="E151" s="19" t="s">
        <v>69</v>
      </c>
      <c r="F151" s="21"/>
      <c r="G151" s="15">
        <f>12.118+67+1794.755+99-17.144-1124.255-287.558-0.01-77.778-58.975-65.045-21.148+517.41+72</f>
        <v>910.3699999999999</v>
      </c>
      <c r="H151" s="15"/>
      <c r="I151" s="71"/>
      <c r="J151" s="32"/>
      <c r="K151" s="73"/>
    </row>
    <row r="152" spans="1:11" s="3" customFormat="1" ht="47.25">
      <c r="A152" s="36" t="s">
        <v>207</v>
      </c>
      <c r="B152" s="19" t="s">
        <v>6</v>
      </c>
      <c r="C152" s="19" t="s">
        <v>51</v>
      </c>
      <c r="D152" s="19" t="s">
        <v>125</v>
      </c>
      <c r="E152" s="19" t="s">
        <v>82</v>
      </c>
      <c r="F152" s="21"/>
      <c r="G152" s="15">
        <v>240</v>
      </c>
      <c r="H152" s="15"/>
      <c r="I152" s="71"/>
      <c r="J152" s="32"/>
      <c r="K152" s="73"/>
    </row>
    <row r="153" spans="1:11" s="3" customFormat="1" ht="15.75">
      <c r="A153" s="61" t="s">
        <v>195</v>
      </c>
      <c r="B153" s="19" t="s">
        <v>6</v>
      </c>
      <c r="C153" s="19" t="s">
        <v>51</v>
      </c>
      <c r="D153" s="19" t="s">
        <v>125</v>
      </c>
      <c r="E153" s="19" t="s">
        <v>193</v>
      </c>
      <c r="F153" s="21"/>
      <c r="G153" s="15"/>
      <c r="H153" s="15"/>
      <c r="I153" s="71"/>
      <c r="J153" s="32"/>
      <c r="K153" s="73"/>
    </row>
    <row r="154" spans="1:11" s="3" customFormat="1" ht="47.25">
      <c r="A154" s="35" t="s">
        <v>238</v>
      </c>
      <c r="B154" s="19" t="s">
        <v>6</v>
      </c>
      <c r="C154" s="19" t="s">
        <v>51</v>
      </c>
      <c r="D154" s="19" t="s">
        <v>296</v>
      </c>
      <c r="E154" s="19"/>
      <c r="F154" s="21"/>
      <c r="G154" s="15">
        <f>G155+G159</f>
        <v>9809</v>
      </c>
      <c r="H154" s="15">
        <f>H155+H159</f>
        <v>12038</v>
      </c>
      <c r="I154" s="15">
        <f>I155+I159</f>
        <v>12038</v>
      </c>
      <c r="J154" s="32"/>
      <c r="K154" s="73"/>
    </row>
    <row r="155" spans="1:11" s="3" customFormat="1" ht="47.25">
      <c r="A155" s="35" t="s">
        <v>70</v>
      </c>
      <c r="B155" s="19" t="s">
        <v>6</v>
      </c>
      <c r="C155" s="19" t="s">
        <v>51</v>
      </c>
      <c r="D155" s="19" t="s">
        <v>296</v>
      </c>
      <c r="E155" s="19" t="s">
        <v>69</v>
      </c>
      <c r="F155" s="21"/>
      <c r="G155" s="15">
        <f>12038-12038</f>
        <v>0</v>
      </c>
      <c r="H155" s="15">
        <v>12038</v>
      </c>
      <c r="I155" s="71">
        <v>12038</v>
      </c>
      <c r="J155" s="32"/>
      <c r="K155" s="73"/>
    </row>
    <row r="156" spans="1:11" s="3" customFormat="1" ht="126">
      <c r="A156" s="35" t="s">
        <v>354</v>
      </c>
      <c r="B156" s="19" t="s">
        <v>6</v>
      </c>
      <c r="C156" s="19" t="s">
        <v>51</v>
      </c>
      <c r="D156" s="19" t="s">
        <v>353</v>
      </c>
      <c r="E156" s="19"/>
      <c r="F156" s="21"/>
      <c r="G156" s="15">
        <f>G157</f>
        <v>0</v>
      </c>
      <c r="H156" s="15">
        <f>H157</f>
        <v>0</v>
      </c>
      <c r="I156" s="15">
        <f>I157</f>
        <v>0</v>
      </c>
      <c r="J156" s="32"/>
      <c r="K156" s="73"/>
    </row>
    <row r="157" spans="1:11" s="3" customFormat="1" ht="31.5">
      <c r="A157" s="35" t="s">
        <v>135</v>
      </c>
      <c r="B157" s="19" t="s">
        <v>6</v>
      </c>
      <c r="C157" s="19" t="s">
        <v>51</v>
      </c>
      <c r="D157" s="19" t="s">
        <v>353</v>
      </c>
      <c r="E157" s="19" t="s">
        <v>64</v>
      </c>
      <c r="F157" s="21"/>
      <c r="G157" s="15"/>
      <c r="H157" s="15"/>
      <c r="I157" s="71"/>
      <c r="J157" s="32"/>
      <c r="K157" s="73"/>
    </row>
    <row r="158" spans="1:11" s="3" customFormat="1" ht="78.75">
      <c r="A158" s="35" t="s">
        <v>134</v>
      </c>
      <c r="B158" s="19" t="s">
        <v>6</v>
      </c>
      <c r="C158" s="19" t="s">
        <v>51</v>
      </c>
      <c r="D158" s="19" t="s">
        <v>353</v>
      </c>
      <c r="E158" s="19" t="s">
        <v>133</v>
      </c>
      <c r="F158" s="21"/>
      <c r="G158" s="15"/>
      <c r="H158" s="15"/>
      <c r="I158" s="71"/>
      <c r="J158" s="32"/>
      <c r="K158" s="73"/>
    </row>
    <row r="159" spans="1:11" s="3" customFormat="1" ht="15.75">
      <c r="A159" s="97" t="s">
        <v>56</v>
      </c>
      <c r="B159" s="19" t="s">
        <v>6</v>
      </c>
      <c r="C159" s="19" t="s">
        <v>51</v>
      </c>
      <c r="D159" s="19" t="s">
        <v>296</v>
      </c>
      <c r="E159" s="19" t="s">
        <v>87</v>
      </c>
      <c r="F159" s="21"/>
      <c r="G159" s="15">
        <v>9809</v>
      </c>
      <c r="H159" s="15"/>
      <c r="I159" s="71"/>
      <c r="J159" s="32"/>
      <c r="K159" s="73"/>
    </row>
    <row r="160" spans="1:11" s="40" customFormat="1" ht="31.5">
      <c r="A160" s="99" t="s">
        <v>19</v>
      </c>
      <c r="B160" s="30" t="s">
        <v>9</v>
      </c>
      <c r="C160" s="30"/>
      <c r="D160" s="30"/>
      <c r="E160" s="30"/>
      <c r="F160" s="28"/>
      <c r="G160" s="29">
        <f aca="true" t="shared" si="9" ref="G160:I163">G161</f>
        <v>10</v>
      </c>
      <c r="H160" s="29">
        <f t="shared" si="9"/>
        <v>10</v>
      </c>
      <c r="I160" s="67">
        <f t="shared" si="9"/>
        <v>10</v>
      </c>
      <c r="J160" s="74"/>
      <c r="K160" s="73"/>
    </row>
    <row r="161" spans="1:11" s="37" customFormat="1" ht="63" customHeight="1">
      <c r="A161" s="99" t="s">
        <v>390</v>
      </c>
      <c r="B161" s="9" t="s">
        <v>9</v>
      </c>
      <c r="C161" s="9" t="s">
        <v>37</v>
      </c>
      <c r="D161" s="9"/>
      <c r="E161" s="9"/>
      <c r="F161" s="11">
        <f>F165+F168</f>
        <v>91.6</v>
      </c>
      <c r="G161" s="12">
        <f t="shared" si="9"/>
        <v>10</v>
      </c>
      <c r="H161" s="12">
        <f t="shared" si="9"/>
        <v>10</v>
      </c>
      <c r="I161" s="12">
        <f t="shared" si="9"/>
        <v>10</v>
      </c>
      <c r="J161" s="75"/>
      <c r="K161" s="73"/>
    </row>
    <row r="162" spans="1:11" s="37" customFormat="1" ht="31.5">
      <c r="A162" s="97" t="s">
        <v>72</v>
      </c>
      <c r="B162" s="19" t="s">
        <v>9</v>
      </c>
      <c r="C162" s="19" t="s">
        <v>37</v>
      </c>
      <c r="D162" s="19" t="s">
        <v>109</v>
      </c>
      <c r="E162" s="19"/>
      <c r="F162" s="11"/>
      <c r="G162" s="26">
        <f>G163</f>
        <v>10</v>
      </c>
      <c r="H162" s="26">
        <f t="shared" si="9"/>
        <v>10</v>
      </c>
      <c r="I162" s="68">
        <f t="shared" si="9"/>
        <v>10</v>
      </c>
      <c r="J162" s="75"/>
      <c r="K162" s="73"/>
    </row>
    <row r="163" spans="1:11" s="37" customFormat="1" ht="48.75" customHeight="1">
      <c r="A163" s="35" t="s">
        <v>83</v>
      </c>
      <c r="B163" s="19" t="s">
        <v>9</v>
      </c>
      <c r="C163" s="19" t="s">
        <v>37</v>
      </c>
      <c r="D163" s="19" t="s">
        <v>126</v>
      </c>
      <c r="E163" s="19"/>
      <c r="F163" s="11"/>
      <c r="G163" s="26">
        <f t="shared" si="9"/>
        <v>10</v>
      </c>
      <c r="H163" s="26">
        <f t="shared" si="9"/>
        <v>10</v>
      </c>
      <c r="I163" s="68">
        <f t="shared" si="9"/>
        <v>10</v>
      </c>
      <c r="J163" s="75"/>
      <c r="K163" s="73"/>
    </row>
    <row r="164" spans="1:11" s="3" customFormat="1" ht="48" customHeight="1">
      <c r="A164" s="35" t="s">
        <v>70</v>
      </c>
      <c r="B164" s="19" t="s">
        <v>9</v>
      </c>
      <c r="C164" s="19" t="s">
        <v>37</v>
      </c>
      <c r="D164" s="19" t="s">
        <v>126</v>
      </c>
      <c r="E164" s="19" t="s">
        <v>69</v>
      </c>
      <c r="F164" s="14" t="e">
        <f>#REF!</f>
        <v>#REF!</v>
      </c>
      <c r="G164" s="15">
        <v>10</v>
      </c>
      <c r="H164" s="15">
        <v>10</v>
      </c>
      <c r="I164" s="71">
        <v>10</v>
      </c>
      <c r="J164" s="32"/>
      <c r="K164" s="73"/>
    </row>
    <row r="165" spans="1:11" s="37" customFormat="1" ht="17.25" customHeight="1">
      <c r="A165" s="98" t="s">
        <v>45</v>
      </c>
      <c r="B165" s="9" t="s">
        <v>11</v>
      </c>
      <c r="C165" s="9"/>
      <c r="D165" s="9"/>
      <c r="E165" s="9"/>
      <c r="F165" s="11">
        <f>F166+F169</f>
        <v>49.8</v>
      </c>
      <c r="G165" s="12">
        <f>G166+G172+G186</f>
        <v>17527.68</v>
      </c>
      <c r="H165" s="12">
        <f>H166+H172+H186</f>
        <v>16898.3</v>
      </c>
      <c r="I165" s="66">
        <f>I166+I172+I186</f>
        <v>16957.9</v>
      </c>
      <c r="J165" s="75"/>
      <c r="K165" s="73"/>
    </row>
    <row r="166" spans="1:11" s="40" customFormat="1" ht="15.75">
      <c r="A166" s="99" t="s">
        <v>55</v>
      </c>
      <c r="B166" s="30" t="s">
        <v>11</v>
      </c>
      <c r="C166" s="30" t="s">
        <v>20</v>
      </c>
      <c r="D166" s="30"/>
      <c r="E166" s="30"/>
      <c r="F166" s="28">
        <f>F168</f>
        <v>41.8</v>
      </c>
      <c r="G166" s="29">
        <f>G167</f>
        <v>34.2</v>
      </c>
      <c r="H166" s="29">
        <f>H167</f>
        <v>0</v>
      </c>
      <c r="I166" s="67">
        <f>I167</f>
        <v>0</v>
      </c>
      <c r="J166" s="74"/>
      <c r="K166" s="73"/>
    </row>
    <row r="167" spans="1:11" s="3" customFormat="1" ht="31.5">
      <c r="A167" s="97" t="s">
        <v>72</v>
      </c>
      <c r="B167" s="23" t="s">
        <v>11</v>
      </c>
      <c r="C167" s="23" t="s">
        <v>20</v>
      </c>
      <c r="D167" s="23" t="s">
        <v>109</v>
      </c>
      <c r="E167" s="23"/>
      <c r="F167" s="14">
        <f>F168</f>
        <v>41.8</v>
      </c>
      <c r="G167" s="15">
        <f>G168+G170</f>
        <v>34.2</v>
      </c>
      <c r="H167" s="15">
        <f>H168+H170</f>
        <v>0</v>
      </c>
      <c r="I167" s="71">
        <f>I168+I170</f>
        <v>0</v>
      </c>
      <c r="J167" s="32"/>
      <c r="K167" s="73"/>
    </row>
    <row r="168" spans="1:11" s="3" customFormat="1" ht="96" customHeight="1">
      <c r="A168" s="35" t="s">
        <v>239</v>
      </c>
      <c r="B168" s="23" t="s">
        <v>11</v>
      </c>
      <c r="C168" s="23" t="s">
        <v>20</v>
      </c>
      <c r="D168" s="23" t="s">
        <v>175</v>
      </c>
      <c r="E168" s="23"/>
      <c r="F168" s="14">
        <f>165-123.2</f>
        <v>41.8</v>
      </c>
      <c r="G168" s="15">
        <f aca="true" t="shared" si="10" ref="G168:I170">G169</f>
        <v>34.2</v>
      </c>
      <c r="H168" s="15">
        <f t="shared" si="10"/>
        <v>0</v>
      </c>
      <c r="I168" s="71">
        <f t="shared" si="10"/>
        <v>0</v>
      </c>
      <c r="J168" s="32"/>
      <c r="K168" s="73"/>
    </row>
    <row r="169" spans="1:11" s="3" customFormat="1" ht="47.25">
      <c r="A169" s="35" t="s">
        <v>70</v>
      </c>
      <c r="B169" s="23" t="s">
        <v>11</v>
      </c>
      <c r="C169" s="23" t="s">
        <v>20</v>
      </c>
      <c r="D169" s="23" t="s">
        <v>175</v>
      </c>
      <c r="E169" s="23" t="s">
        <v>69</v>
      </c>
      <c r="F169" s="14">
        <f>F170</f>
        <v>8</v>
      </c>
      <c r="G169" s="15">
        <v>34.2</v>
      </c>
      <c r="H169" s="15"/>
      <c r="I169" s="71"/>
      <c r="J169" s="32"/>
      <c r="K169" s="73"/>
    </row>
    <row r="170" spans="1:11" s="3" customFormat="1" ht="94.5" hidden="1">
      <c r="A170" s="35" t="s">
        <v>84</v>
      </c>
      <c r="B170" s="23" t="s">
        <v>11</v>
      </c>
      <c r="C170" s="23" t="s">
        <v>20</v>
      </c>
      <c r="D170" s="23" t="s">
        <v>85</v>
      </c>
      <c r="E170" s="23"/>
      <c r="F170" s="14">
        <f>F171</f>
        <v>8</v>
      </c>
      <c r="G170" s="15">
        <f t="shared" si="10"/>
        <v>0</v>
      </c>
      <c r="H170" s="15">
        <f t="shared" si="10"/>
        <v>0</v>
      </c>
      <c r="I170" s="71">
        <f t="shared" si="10"/>
        <v>0</v>
      </c>
      <c r="J170" s="32"/>
      <c r="K170" s="73"/>
    </row>
    <row r="171" spans="1:11" s="3" customFormat="1" ht="47.25" hidden="1">
      <c r="A171" s="35" t="s">
        <v>70</v>
      </c>
      <c r="B171" s="23" t="s">
        <v>11</v>
      </c>
      <c r="C171" s="23" t="s">
        <v>20</v>
      </c>
      <c r="D171" s="23" t="s">
        <v>85</v>
      </c>
      <c r="E171" s="23" t="s">
        <v>69</v>
      </c>
      <c r="F171" s="14">
        <v>8</v>
      </c>
      <c r="G171" s="15">
        <f>320-320</f>
        <v>0</v>
      </c>
      <c r="H171" s="15"/>
      <c r="I171" s="71"/>
      <c r="J171" s="32"/>
      <c r="K171" s="73"/>
    </row>
    <row r="172" spans="1:11" s="37" customFormat="1" ht="15.75">
      <c r="A172" s="98" t="s">
        <v>46</v>
      </c>
      <c r="B172" s="9" t="s">
        <v>11</v>
      </c>
      <c r="C172" s="9" t="s">
        <v>21</v>
      </c>
      <c r="D172" s="9"/>
      <c r="E172" s="9"/>
      <c r="F172" s="11" t="e">
        <f>#REF!</f>
        <v>#REF!</v>
      </c>
      <c r="G172" s="12">
        <f>G173+G176</f>
        <v>17193.48</v>
      </c>
      <c r="H172" s="12">
        <f>H173+H176</f>
        <v>16848.3</v>
      </c>
      <c r="I172" s="12">
        <f>I173+I176</f>
        <v>16857.9</v>
      </c>
      <c r="J172" s="75"/>
      <c r="K172" s="73"/>
    </row>
    <row r="173" spans="1:11" s="37" customFormat="1" ht="63">
      <c r="A173" s="43" t="s">
        <v>277</v>
      </c>
      <c r="B173" s="23" t="s">
        <v>11</v>
      </c>
      <c r="C173" s="23" t="s">
        <v>21</v>
      </c>
      <c r="D173" s="10" t="s">
        <v>127</v>
      </c>
      <c r="E173" s="10"/>
      <c r="F173" s="10"/>
      <c r="G173" s="26">
        <f aca="true" t="shared" si="11" ref="G173:I174">G174</f>
        <v>820.7520000000001</v>
      </c>
      <c r="H173" s="26">
        <f t="shared" si="11"/>
        <v>619.3</v>
      </c>
      <c r="I173" s="68">
        <f t="shared" si="11"/>
        <v>628.9</v>
      </c>
      <c r="J173" s="75"/>
      <c r="K173" s="73"/>
    </row>
    <row r="174" spans="1:11" s="37" customFormat="1" ht="31.5">
      <c r="A174" s="36" t="s">
        <v>93</v>
      </c>
      <c r="B174" s="23" t="s">
        <v>11</v>
      </c>
      <c r="C174" s="23" t="s">
        <v>21</v>
      </c>
      <c r="D174" s="10" t="s">
        <v>128</v>
      </c>
      <c r="E174" s="10"/>
      <c r="F174" s="10"/>
      <c r="G174" s="26">
        <f t="shared" si="11"/>
        <v>820.7520000000001</v>
      </c>
      <c r="H174" s="26">
        <f t="shared" si="11"/>
        <v>619.3</v>
      </c>
      <c r="I174" s="68">
        <f t="shared" si="11"/>
        <v>628.9</v>
      </c>
      <c r="J174" s="75"/>
      <c r="K174" s="73"/>
    </row>
    <row r="175" spans="1:11" s="37" customFormat="1" ht="47.25">
      <c r="A175" s="35" t="s">
        <v>70</v>
      </c>
      <c r="B175" s="23" t="s">
        <v>11</v>
      </c>
      <c r="C175" s="23" t="s">
        <v>21</v>
      </c>
      <c r="D175" s="10" t="s">
        <v>128</v>
      </c>
      <c r="E175" s="10" t="s">
        <v>69</v>
      </c>
      <c r="F175" s="10" t="s">
        <v>69</v>
      </c>
      <c r="G175" s="26">
        <f>572.5+270.767-22.515</f>
        <v>820.7520000000001</v>
      </c>
      <c r="H175" s="26">
        <v>619.3</v>
      </c>
      <c r="I175" s="68">
        <v>628.9</v>
      </c>
      <c r="J175" s="75"/>
      <c r="K175" s="73"/>
    </row>
    <row r="176" spans="1:11" s="37" customFormat="1" ht="31.5">
      <c r="A176" s="97" t="s">
        <v>72</v>
      </c>
      <c r="B176" s="19" t="s">
        <v>11</v>
      </c>
      <c r="C176" s="19" t="s">
        <v>21</v>
      </c>
      <c r="D176" s="19" t="s">
        <v>109</v>
      </c>
      <c r="E176" s="10"/>
      <c r="F176" s="10"/>
      <c r="G176" s="26">
        <f>G181+G177+G179+G184</f>
        <v>16372.728</v>
      </c>
      <c r="H176" s="26">
        <f>H181+H177+H179+H184</f>
        <v>16229</v>
      </c>
      <c r="I176" s="26">
        <f>I181+I177+I179+I184</f>
        <v>16229</v>
      </c>
      <c r="J176" s="75"/>
      <c r="K176" s="73"/>
    </row>
    <row r="177" spans="1:11" s="37" customFormat="1" ht="47.25">
      <c r="A177" s="35" t="s">
        <v>225</v>
      </c>
      <c r="B177" s="23" t="s">
        <v>11</v>
      </c>
      <c r="C177" s="24" t="s">
        <v>21</v>
      </c>
      <c r="D177" s="24" t="s">
        <v>174</v>
      </c>
      <c r="E177" s="24"/>
      <c r="F177" s="10"/>
      <c r="G177" s="26">
        <f>G178</f>
        <v>22.515</v>
      </c>
      <c r="H177" s="26"/>
      <c r="I177" s="68"/>
      <c r="J177" s="75"/>
      <c r="K177" s="73"/>
    </row>
    <row r="178" spans="1:11" s="37" customFormat="1" ht="15.75">
      <c r="A178" s="35" t="s">
        <v>56</v>
      </c>
      <c r="B178" s="23" t="s">
        <v>11</v>
      </c>
      <c r="C178" s="24" t="s">
        <v>21</v>
      </c>
      <c r="D178" s="24" t="s">
        <v>174</v>
      </c>
      <c r="E178" s="24" t="s">
        <v>87</v>
      </c>
      <c r="F178" s="10"/>
      <c r="G178" s="26">
        <v>22.515</v>
      </c>
      <c r="H178" s="26"/>
      <c r="I178" s="68"/>
      <c r="J178" s="75"/>
      <c r="K178" s="73"/>
    </row>
    <row r="179" spans="1:11" s="37" customFormat="1" ht="110.25">
      <c r="A179" s="35" t="s">
        <v>182</v>
      </c>
      <c r="B179" s="23" t="s">
        <v>11</v>
      </c>
      <c r="C179" s="24" t="s">
        <v>21</v>
      </c>
      <c r="D179" s="24" t="s">
        <v>181</v>
      </c>
      <c r="E179" s="24"/>
      <c r="F179" s="10"/>
      <c r="G179" s="26">
        <f>G180</f>
        <v>121.213</v>
      </c>
      <c r="H179" s="26">
        <f>H180</f>
        <v>0</v>
      </c>
      <c r="I179" s="26">
        <f>I180</f>
        <v>0</v>
      </c>
      <c r="J179" s="75"/>
      <c r="K179" s="73"/>
    </row>
    <row r="180" spans="1:11" s="37" customFormat="1" ht="15.75">
      <c r="A180" s="35" t="s">
        <v>352</v>
      </c>
      <c r="B180" s="23" t="s">
        <v>11</v>
      </c>
      <c r="C180" s="24" t="s">
        <v>21</v>
      </c>
      <c r="D180" s="24" t="s">
        <v>181</v>
      </c>
      <c r="E180" s="24" t="s">
        <v>69</v>
      </c>
      <c r="F180" s="10"/>
      <c r="G180" s="26">
        <f>40.404+80.809</f>
        <v>121.213</v>
      </c>
      <c r="H180" s="26"/>
      <c r="I180" s="68"/>
      <c r="J180" s="75"/>
      <c r="K180" s="73"/>
    </row>
    <row r="181" spans="1:11" s="37" customFormat="1" ht="31.5">
      <c r="A181" s="35" t="s">
        <v>297</v>
      </c>
      <c r="B181" s="23" t="s">
        <v>11</v>
      </c>
      <c r="C181" s="24" t="s">
        <v>21</v>
      </c>
      <c r="D181" s="24" t="s">
        <v>320</v>
      </c>
      <c r="E181" s="24"/>
      <c r="F181" s="10"/>
      <c r="G181" s="26">
        <f>G182+G183</f>
        <v>8229</v>
      </c>
      <c r="H181" s="26">
        <f>H182</f>
        <v>8229</v>
      </c>
      <c r="I181" s="68">
        <f>I182</f>
        <v>8229</v>
      </c>
      <c r="J181" s="75"/>
      <c r="K181" s="73"/>
    </row>
    <row r="182" spans="1:11" s="37" customFormat="1" ht="47.25">
      <c r="A182" s="35" t="s">
        <v>70</v>
      </c>
      <c r="B182" s="23" t="s">
        <v>11</v>
      </c>
      <c r="C182" s="24" t="s">
        <v>21</v>
      </c>
      <c r="D182" s="24" t="s">
        <v>320</v>
      </c>
      <c r="E182" s="24" t="s">
        <v>69</v>
      </c>
      <c r="F182" s="10"/>
      <c r="G182" s="26">
        <f>8229-2229</f>
        <v>6000</v>
      </c>
      <c r="H182" s="26">
        <v>8229</v>
      </c>
      <c r="I182" s="68">
        <v>8229</v>
      </c>
      <c r="J182" s="75"/>
      <c r="K182" s="73"/>
    </row>
    <row r="183" spans="1:11" s="37" customFormat="1" ht="15.75">
      <c r="A183" s="35" t="s">
        <v>56</v>
      </c>
      <c r="B183" s="23" t="s">
        <v>11</v>
      </c>
      <c r="C183" s="24" t="s">
        <v>21</v>
      </c>
      <c r="D183" s="24" t="s">
        <v>320</v>
      </c>
      <c r="E183" s="24" t="s">
        <v>87</v>
      </c>
      <c r="F183" s="10"/>
      <c r="G183" s="26">
        <v>2229</v>
      </c>
      <c r="H183" s="26"/>
      <c r="I183" s="68"/>
      <c r="J183" s="75"/>
      <c r="K183" s="73"/>
    </row>
    <row r="184" spans="1:11" s="37" customFormat="1" ht="47.25">
      <c r="A184" s="35" t="s">
        <v>343</v>
      </c>
      <c r="B184" s="23" t="s">
        <v>11</v>
      </c>
      <c r="C184" s="24" t="s">
        <v>21</v>
      </c>
      <c r="D184" s="24" t="s">
        <v>321</v>
      </c>
      <c r="E184" s="24"/>
      <c r="F184" s="10"/>
      <c r="G184" s="26">
        <f>G185</f>
        <v>8000</v>
      </c>
      <c r="H184" s="26">
        <f>H185</f>
        <v>8000</v>
      </c>
      <c r="I184" s="26">
        <f>I185</f>
        <v>8000</v>
      </c>
      <c r="J184" s="75"/>
      <c r="K184" s="73"/>
    </row>
    <row r="185" spans="1:11" s="37" customFormat="1" ht="47.25">
      <c r="A185" s="35" t="s">
        <v>70</v>
      </c>
      <c r="B185" s="23" t="s">
        <v>11</v>
      </c>
      <c r="C185" s="24" t="s">
        <v>21</v>
      </c>
      <c r="D185" s="24" t="s">
        <v>321</v>
      </c>
      <c r="E185" s="24" t="s">
        <v>69</v>
      </c>
      <c r="F185" s="10"/>
      <c r="G185" s="26">
        <v>8000</v>
      </c>
      <c r="H185" s="26">
        <v>8000</v>
      </c>
      <c r="I185" s="68">
        <v>8000</v>
      </c>
      <c r="J185" s="75"/>
      <c r="K185" s="73"/>
    </row>
    <row r="186" spans="1:11" s="37" customFormat="1" ht="31.5">
      <c r="A186" s="98" t="s">
        <v>22</v>
      </c>
      <c r="B186" s="9" t="s">
        <v>11</v>
      </c>
      <c r="C186" s="9" t="s">
        <v>16</v>
      </c>
      <c r="D186" s="9"/>
      <c r="E186" s="9"/>
      <c r="F186" s="11" t="e">
        <f>F187+#REF!</f>
        <v>#REF!</v>
      </c>
      <c r="G186" s="12">
        <f>G187</f>
        <v>300</v>
      </c>
      <c r="H186" s="12">
        <f>H187</f>
        <v>50</v>
      </c>
      <c r="I186" s="66">
        <f>I187</f>
        <v>100</v>
      </c>
      <c r="J186" s="75"/>
      <c r="K186" s="73"/>
    </row>
    <row r="187" spans="1:11" s="3" customFormat="1" ht="31.5">
      <c r="A187" s="97" t="s">
        <v>72</v>
      </c>
      <c r="B187" s="19" t="s">
        <v>11</v>
      </c>
      <c r="C187" s="19" t="s">
        <v>16</v>
      </c>
      <c r="D187" s="19" t="s">
        <v>109</v>
      </c>
      <c r="E187" s="19"/>
      <c r="F187" s="14">
        <f aca="true" t="shared" si="12" ref="F187:I188">F188</f>
        <v>300</v>
      </c>
      <c r="G187" s="15">
        <f>G188+G190</f>
        <v>300</v>
      </c>
      <c r="H187" s="15">
        <f>H188+H190</f>
        <v>50</v>
      </c>
      <c r="I187" s="71">
        <f>I188+I190</f>
        <v>100</v>
      </c>
      <c r="J187" s="32"/>
      <c r="K187" s="73"/>
    </row>
    <row r="188" spans="1:11" s="3" customFormat="1" ht="31.5">
      <c r="A188" s="35" t="s">
        <v>23</v>
      </c>
      <c r="B188" s="19" t="s">
        <v>11</v>
      </c>
      <c r="C188" s="19" t="s">
        <v>16</v>
      </c>
      <c r="D188" s="19" t="s">
        <v>129</v>
      </c>
      <c r="E188" s="19"/>
      <c r="F188" s="14">
        <f t="shared" si="12"/>
        <v>300</v>
      </c>
      <c r="G188" s="15">
        <f t="shared" si="12"/>
        <v>200</v>
      </c>
      <c r="H188" s="15">
        <f t="shared" si="12"/>
        <v>50</v>
      </c>
      <c r="I188" s="71">
        <f t="shared" si="12"/>
        <v>100</v>
      </c>
      <c r="J188" s="32"/>
      <c r="K188" s="73"/>
    </row>
    <row r="189" spans="1:11" s="3" customFormat="1" ht="47.25">
      <c r="A189" s="35" t="s">
        <v>70</v>
      </c>
      <c r="B189" s="19" t="s">
        <v>11</v>
      </c>
      <c r="C189" s="19" t="s">
        <v>16</v>
      </c>
      <c r="D189" s="19" t="s">
        <v>129</v>
      </c>
      <c r="E189" s="19" t="s">
        <v>69</v>
      </c>
      <c r="F189" s="14">
        <v>300</v>
      </c>
      <c r="G189" s="15">
        <f>50+150</f>
        <v>200</v>
      </c>
      <c r="H189" s="15">
        <v>50</v>
      </c>
      <c r="I189" s="71">
        <v>100</v>
      </c>
      <c r="J189" s="32"/>
      <c r="K189" s="73"/>
    </row>
    <row r="190" spans="1:11" s="3" customFormat="1" ht="97.5" customHeight="1">
      <c r="A190" s="35" t="s">
        <v>182</v>
      </c>
      <c r="B190" s="19" t="s">
        <v>11</v>
      </c>
      <c r="C190" s="19" t="s">
        <v>16</v>
      </c>
      <c r="D190" s="19" t="s">
        <v>181</v>
      </c>
      <c r="E190" s="19"/>
      <c r="F190" s="14"/>
      <c r="G190" s="15">
        <f>G191</f>
        <v>100</v>
      </c>
      <c r="H190" s="15">
        <f>H191</f>
        <v>0</v>
      </c>
      <c r="I190" s="71">
        <f>I191</f>
        <v>0</v>
      </c>
      <c r="J190" s="32"/>
      <c r="K190" s="73"/>
    </row>
    <row r="191" spans="1:11" s="3" customFormat="1" ht="21.75" customHeight="1">
      <c r="A191" s="35" t="s">
        <v>70</v>
      </c>
      <c r="B191" s="19" t="s">
        <v>11</v>
      </c>
      <c r="C191" s="19" t="s">
        <v>16</v>
      </c>
      <c r="D191" s="19" t="s">
        <v>181</v>
      </c>
      <c r="E191" s="19" t="s">
        <v>69</v>
      </c>
      <c r="F191" s="14"/>
      <c r="G191" s="15">
        <v>100</v>
      </c>
      <c r="H191" s="15"/>
      <c r="I191" s="71"/>
      <c r="J191" s="32"/>
      <c r="K191" s="73"/>
    </row>
    <row r="192" spans="1:11" s="3" customFormat="1" ht="15.75">
      <c r="A192" s="98" t="s">
        <v>24</v>
      </c>
      <c r="B192" s="9" t="s">
        <v>20</v>
      </c>
      <c r="C192" s="19"/>
      <c r="D192" s="19"/>
      <c r="E192" s="19"/>
      <c r="F192" s="11" t="e">
        <f>#REF!+F197+#REF!</f>
        <v>#REF!</v>
      </c>
      <c r="G192" s="12">
        <f>G197+G193+G232</f>
        <v>21140.427</v>
      </c>
      <c r="H192" s="12">
        <f>H197+H193</f>
        <v>14812</v>
      </c>
      <c r="I192" s="66">
        <f>I197+I193</f>
        <v>16917</v>
      </c>
      <c r="J192" s="32"/>
      <c r="K192" s="73"/>
    </row>
    <row r="193" spans="1:11" s="40" customFormat="1" ht="15.75">
      <c r="A193" s="99" t="s">
        <v>191</v>
      </c>
      <c r="B193" s="30" t="s">
        <v>20</v>
      </c>
      <c r="C193" s="30" t="s">
        <v>6</v>
      </c>
      <c r="D193" s="30"/>
      <c r="E193" s="30"/>
      <c r="F193" s="28"/>
      <c r="G193" s="29">
        <f aca="true" t="shared" si="13" ref="G193:I195">G194</f>
        <v>10</v>
      </c>
      <c r="H193" s="29">
        <f t="shared" si="13"/>
        <v>5</v>
      </c>
      <c r="I193" s="67">
        <f t="shared" si="13"/>
        <v>10</v>
      </c>
      <c r="J193" s="74"/>
      <c r="K193" s="73"/>
    </row>
    <row r="194" spans="1:11" s="3" customFormat="1" ht="31.5">
      <c r="A194" s="97" t="s">
        <v>72</v>
      </c>
      <c r="B194" s="23" t="s">
        <v>20</v>
      </c>
      <c r="C194" s="23" t="s">
        <v>6</v>
      </c>
      <c r="D194" s="19" t="s">
        <v>109</v>
      </c>
      <c r="E194" s="19"/>
      <c r="F194" s="11"/>
      <c r="G194" s="26">
        <f t="shared" si="13"/>
        <v>10</v>
      </c>
      <c r="H194" s="26">
        <f t="shared" si="13"/>
        <v>5</v>
      </c>
      <c r="I194" s="68">
        <f t="shared" si="13"/>
        <v>10</v>
      </c>
      <c r="J194" s="32"/>
      <c r="K194" s="73"/>
    </row>
    <row r="195" spans="1:11" s="3" customFormat="1" ht="31.5">
      <c r="A195" s="35" t="s">
        <v>194</v>
      </c>
      <c r="B195" s="23" t="s">
        <v>20</v>
      </c>
      <c r="C195" s="23" t="s">
        <v>6</v>
      </c>
      <c r="D195" s="19" t="s">
        <v>192</v>
      </c>
      <c r="E195" s="19"/>
      <c r="F195" s="11"/>
      <c r="G195" s="26">
        <f t="shared" si="13"/>
        <v>10</v>
      </c>
      <c r="H195" s="26">
        <f t="shared" si="13"/>
        <v>5</v>
      </c>
      <c r="I195" s="68">
        <f t="shared" si="13"/>
        <v>10</v>
      </c>
      <c r="J195" s="32"/>
      <c r="K195" s="73"/>
    </row>
    <row r="196" spans="1:11" s="3" customFormat="1" ht="47.25">
      <c r="A196" s="35" t="s">
        <v>70</v>
      </c>
      <c r="B196" s="23" t="s">
        <v>20</v>
      </c>
      <c r="C196" s="23" t="s">
        <v>6</v>
      </c>
      <c r="D196" s="19" t="s">
        <v>192</v>
      </c>
      <c r="E196" s="19" t="s">
        <v>69</v>
      </c>
      <c r="F196" s="11"/>
      <c r="G196" s="26">
        <v>10</v>
      </c>
      <c r="H196" s="26">
        <v>5</v>
      </c>
      <c r="I196" s="68">
        <v>10</v>
      </c>
      <c r="J196" s="32"/>
      <c r="K196" s="73"/>
    </row>
    <row r="197" spans="1:11" s="37" customFormat="1" ht="15.75">
      <c r="A197" s="98" t="s">
        <v>25</v>
      </c>
      <c r="B197" s="9" t="s">
        <v>20</v>
      </c>
      <c r="C197" s="9" t="s">
        <v>7</v>
      </c>
      <c r="D197" s="9"/>
      <c r="E197" s="9"/>
      <c r="F197" s="11" t="e">
        <f>F218+#REF!</f>
        <v>#REF!</v>
      </c>
      <c r="G197" s="12">
        <f>G205+G216+G198</f>
        <v>19604.827</v>
      </c>
      <c r="H197" s="12">
        <f>H205+H216+H198</f>
        <v>14807</v>
      </c>
      <c r="I197" s="12">
        <f>I205+I216+I198</f>
        <v>16907</v>
      </c>
      <c r="J197" s="75"/>
      <c r="K197" s="73"/>
    </row>
    <row r="198" spans="1:11" s="37" customFormat="1" ht="78.75">
      <c r="A198" s="51" t="s">
        <v>409</v>
      </c>
      <c r="B198" s="23" t="s">
        <v>20</v>
      </c>
      <c r="C198" s="23" t="s">
        <v>7</v>
      </c>
      <c r="D198" s="23" t="s">
        <v>121</v>
      </c>
      <c r="E198" s="23"/>
      <c r="F198" s="25"/>
      <c r="G198" s="26">
        <f>G199+G201+G203</f>
        <v>2333.334</v>
      </c>
      <c r="H198" s="26">
        <f>H199+H201</f>
        <v>0</v>
      </c>
      <c r="I198" s="26">
        <f>I199+I201</f>
        <v>0</v>
      </c>
      <c r="J198" s="75"/>
      <c r="K198" s="73"/>
    </row>
    <row r="199" spans="1:11" s="37" customFormat="1" ht="31.5">
      <c r="A199" s="36" t="s">
        <v>86</v>
      </c>
      <c r="B199" s="23" t="s">
        <v>20</v>
      </c>
      <c r="C199" s="23" t="s">
        <v>7</v>
      </c>
      <c r="D199" s="23" t="s">
        <v>407</v>
      </c>
      <c r="E199" s="23"/>
      <c r="F199" s="25"/>
      <c r="G199" s="26">
        <f>G200</f>
        <v>77.778</v>
      </c>
      <c r="H199" s="26">
        <f>H200</f>
        <v>0</v>
      </c>
      <c r="I199" s="26">
        <f>I200</f>
        <v>0</v>
      </c>
      <c r="J199" s="75"/>
      <c r="K199" s="73"/>
    </row>
    <row r="200" spans="1:11" s="37" customFormat="1" ht="47.25">
      <c r="A200" s="35" t="s">
        <v>70</v>
      </c>
      <c r="B200" s="23" t="s">
        <v>20</v>
      </c>
      <c r="C200" s="23" t="s">
        <v>7</v>
      </c>
      <c r="D200" s="23" t="s">
        <v>407</v>
      </c>
      <c r="E200" s="23" t="s">
        <v>69</v>
      </c>
      <c r="F200" s="25"/>
      <c r="G200" s="26">
        <v>77.778</v>
      </c>
      <c r="H200" s="26"/>
      <c r="I200" s="68"/>
      <c r="J200" s="75"/>
      <c r="K200" s="73"/>
    </row>
    <row r="201" spans="1:11" s="37" customFormat="1" ht="47.25">
      <c r="A201" s="36" t="s">
        <v>406</v>
      </c>
      <c r="B201" s="23" t="s">
        <v>20</v>
      </c>
      <c r="C201" s="23" t="s">
        <v>7</v>
      </c>
      <c r="D201" s="10" t="s">
        <v>408</v>
      </c>
      <c r="E201" s="23"/>
      <c r="F201" s="25"/>
      <c r="G201" s="26">
        <f>G202</f>
        <v>2100</v>
      </c>
      <c r="H201" s="26">
        <f>H202</f>
        <v>0</v>
      </c>
      <c r="I201" s="26">
        <f>I202</f>
        <v>0</v>
      </c>
      <c r="J201" s="75"/>
      <c r="K201" s="73"/>
    </row>
    <row r="202" spans="1:11" s="37" customFormat="1" ht="47.25">
      <c r="A202" s="35" t="s">
        <v>70</v>
      </c>
      <c r="B202" s="23" t="s">
        <v>20</v>
      </c>
      <c r="C202" s="23" t="s">
        <v>7</v>
      </c>
      <c r="D202" s="10" t="s">
        <v>408</v>
      </c>
      <c r="E202" s="23" t="s">
        <v>69</v>
      </c>
      <c r="F202" s="25"/>
      <c r="G202" s="26">
        <v>2100</v>
      </c>
      <c r="H202" s="26"/>
      <c r="I202" s="68"/>
      <c r="J202" s="75"/>
      <c r="K202" s="73"/>
    </row>
    <row r="203" spans="1:11" s="37" customFormat="1" ht="110.25">
      <c r="A203" s="35" t="s">
        <v>182</v>
      </c>
      <c r="B203" s="23" t="s">
        <v>20</v>
      </c>
      <c r="C203" s="23" t="s">
        <v>7</v>
      </c>
      <c r="D203" s="23" t="s">
        <v>410</v>
      </c>
      <c r="E203" s="23"/>
      <c r="F203" s="25"/>
      <c r="G203" s="26">
        <f>G204</f>
        <v>155.556</v>
      </c>
      <c r="H203" s="26">
        <f>H204</f>
        <v>0</v>
      </c>
      <c r="I203" s="26">
        <f>I204</f>
        <v>0</v>
      </c>
      <c r="J203" s="75"/>
      <c r="K203" s="73"/>
    </row>
    <row r="204" spans="1:11" s="37" customFormat="1" ht="47.25">
      <c r="A204" s="35" t="s">
        <v>70</v>
      </c>
      <c r="B204" s="23" t="s">
        <v>20</v>
      </c>
      <c r="C204" s="23" t="s">
        <v>7</v>
      </c>
      <c r="D204" s="23" t="s">
        <v>410</v>
      </c>
      <c r="E204" s="23" t="s">
        <v>69</v>
      </c>
      <c r="F204" s="25"/>
      <c r="G204" s="26">
        <v>155.556</v>
      </c>
      <c r="H204" s="26"/>
      <c r="I204" s="68"/>
      <c r="J204" s="75"/>
      <c r="K204" s="73"/>
    </row>
    <row r="205" spans="1:11" s="3" customFormat="1" ht="93.75" customHeight="1">
      <c r="A205" s="52" t="s">
        <v>276</v>
      </c>
      <c r="B205" s="19" t="s">
        <v>20</v>
      </c>
      <c r="C205" s="19" t="s">
        <v>7</v>
      </c>
      <c r="D205" s="19" t="s">
        <v>122</v>
      </c>
      <c r="E205" s="19"/>
      <c r="F205" s="21"/>
      <c r="G205" s="15">
        <f>G206</f>
        <v>15487.220000000001</v>
      </c>
      <c r="H205" s="15">
        <f>H206</f>
        <v>14807</v>
      </c>
      <c r="I205" s="71">
        <f>I206</f>
        <v>16907</v>
      </c>
      <c r="J205" s="32"/>
      <c r="K205" s="73"/>
    </row>
    <row r="206" spans="1:11" s="3" customFormat="1" ht="31.5">
      <c r="A206" s="54" t="s">
        <v>202</v>
      </c>
      <c r="B206" s="19" t="s">
        <v>20</v>
      </c>
      <c r="C206" s="19" t="s">
        <v>7</v>
      </c>
      <c r="D206" s="19" t="s">
        <v>177</v>
      </c>
      <c r="E206" s="19"/>
      <c r="F206" s="21"/>
      <c r="G206" s="15">
        <f>G207+G208+G209+G210+G212+G213+G214+G215+G211</f>
        <v>15487.220000000001</v>
      </c>
      <c r="H206" s="15">
        <f>H207+H208+H209+H210+H212+H213+H214+H215+H211</f>
        <v>14807</v>
      </c>
      <c r="I206" s="15">
        <f>I207+I208+I209+I210+I212+I213+I214+I215+I211</f>
        <v>16907</v>
      </c>
      <c r="J206" s="32"/>
      <c r="K206" s="73"/>
    </row>
    <row r="207" spans="1:11" s="37" customFormat="1" ht="15.75">
      <c r="A207" s="54" t="s">
        <v>172</v>
      </c>
      <c r="B207" s="19" t="s">
        <v>20</v>
      </c>
      <c r="C207" s="19" t="s">
        <v>7</v>
      </c>
      <c r="D207" s="19" t="s">
        <v>177</v>
      </c>
      <c r="E207" s="19" t="s">
        <v>80</v>
      </c>
      <c r="F207" s="11"/>
      <c r="G207" s="26">
        <f>6264.2+300</f>
        <v>6564.2</v>
      </c>
      <c r="H207" s="26">
        <v>6764.2</v>
      </c>
      <c r="I207" s="68">
        <v>6764.2</v>
      </c>
      <c r="J207" s="75"/>
      <c r="K207" s="73"/>
    </row>
    <row r="208" spans="1:11" s="37" customFormat="1" ht="47.25" hidden="1">
      <c r="A208" s="54" t="s">
        <v>77</v>
      </c>
      <c r="B208" s="19" t="s">
        <v>20</v>
      </c>
      <c r="C208" s="19" t="s">
        <v>7</v>
      </c>
      <c r="D208" s="19" t="s">
        <v>177</v>
      </c>
      <c r="E208" s="19" t="s">
        <v>61</v>
      </c>
      <c r="F208" s="11"/>
      <c r="G208" s="26"/>
      <c r="H208" s="26"/>
      <c r="I208" s="68"/>
      <c r="J208" s="75"/>
      <c r="K208" s="73"/>
    </row>
    <row r="209" spans="1:11" s="37" customFormat="1" ht="63">
      <c r="A209" s="97" t="s">
        <v>173</v>
      </c>
      <c r="B209" s="19" t="s">
        <v>20</v>
      </c>
      <c r="C209" s="19" t="s">
        <v>7</v>
      </c>
      <c r="D209" s="19" t="s">
        <v>177</v>
      </c>
      <c r="E209" s="19" t="s">
        <v>136</v>
      </c>
      <c r="F209" s="11"/>
      <c r="G209" s="26">
        <f>1576.4-400+600</f>
        <v>1776.4</v>
      </c>
      <c r="H209" s="26">
        <v>2042.8</v>
      </c>
      <c r="I209" s="68">
        <v>2042.8</v>
      </c>
      <c r="J209" s="75"/>
      <c r="K209" s="73"/>
    </row>
    <row r="210" spans="1:11" s="37" customFormat="1" ht="47.25">
      <c r="A210" s="54" t="s">
        <v>70</v>
      </c>
      <c r="B210" s="19" t="s">
        <v>20</v>
      </c>
      <c r="C210" s="19" t="s">
        <v>7</v>
      </c>
      <c r="D210" s="19" t="s">
        <v>177</v>
      </c>
      <c r="E210" s="38" t="s">
        <v>69</v>
      </c>
      <c r="F210" s="11"/>
      <c r="G210" s="26">
        <f>7000-5547+796-138.839-60-100</f>
        <v>1950.161</v>
      </c>
      <c r="H210" s="26">
        <f>6000-4547</f>
        <v>1453</v>
      </c>
      <c r="I210" s="68">
        <f>8100-6647</f>
        <v>1453</v>
      </c>
      <c r="J210" s="75"/>
      <c r="K210" s="73"/>
    </row>
    <row r="211" spans="1:11" s="37" customFormat="1" ht="15.75">
      <c r="A211" s="61" t="s">
        <v>392</v>
      </c>
      <c r="B211" s="19" t="s">
        <v>20</v>
      </c>
      <c r="C211" s="19" t="s">
        <v>7</v>
      </c>
      <c r="D211" s="19" t="s">
        <v>177</v>
      </c>
      <c r="E211" s="38" t="s">
        <v>391</v>
      </c>
      <c r="F211" s="11"/>
      <c r="G211" s="26">
        <f>5547-71.661-487.988-6-27.732</f>
        <v>4953.619</v>
      </c>
      <c r="H211" s="26">
        <v>4547</v>
      </c>
      <c r="I211" s="68">
        <v>6647</v>
      </c>
      <c r="J211" s="75"/>
      <c r="K211" s="73"/>
    </row>
    <row r="212" spans="1:11" s="37" customFormat="1" ht="47.25" hidden="1">
      <c r="A212" s="61" t="s">
        <v>207</v>
      </c>
      <c r="B212" s="19" t="s">
        <v>20</v>
      </c>
      <c r="C212" s="19" t="s">
        <v>7</v>
      </c>
      <c r="D212" s="19" t="s">
        <v>177</v>
      </c>
      <c r="E212" s="38" t="s">
        <v>82</v>
      </c>
      <c r="F212" s="11"/>
      <c r="G212" s="26"/>
      <c r="H212" s="26"/>
      <c r="I212" s="68"/>
      <c r="J212" s="75"/>
      <c r="K212" s="73"/>
    </row>
    <row r="213" spans="1:11" s="37" customFormat="1" ht="31.5">
      <c r="A213" s="61" t="s">
        <v>71</v>
      </c>
      <c r="B213" s="19" t="s">
        <v>20</v>
      </c>
      <c r="C213" s="19" t="s">
        <v>7</v>
      </c>
      <c r="D213" s="19" t="s">
        <v>177</v>
      </c>
      <c r="E213" s="38" t="s">
        <v>73</v>
      </c>
      <c r="F213" s="11"/>
      <c r="G213" s="26">
        <f>54.9-21.574</f>
        <v>33.32599999999999</v>
      </c>
      <c r="H213" s="26"/>
      <c r="I213" s="68"/>
      <c r="J213" s="75"/>
      <c r="K213" s="73"/>
    </row>
    <row r="214" spans="1:11" s="37" customFormat="1" ht="39" customHeight="1">
      <c r="A214" s="61" t="s">
        <v>78</v>
      </c>
      <c r="B214" s="19" t="s">
        <v>20</v>
      </c>
      <c r="C214" s="19" t="s">
        <v>7</v>
      </c>
      <c r="D214" s="19" t="s">
        <v>177</v>
      </c>
      <c r="E214" s="38" t="s">
        <v>81</v>
      </c>
      <c r="F214" s="11"/>
      <c r="G214" s="26">
        <f>214-10.293</f>
        <v>203.707</v>
      </c>
      <c r="H214" s="26"/>
      <c r="I214" s="68"/>
      <c r="J214" s="75"/>
      <c r="K214" s="73"/>
    </row>
    <row r="215" spans="1:11" s="37" customFormat="1" ht="15.75">
      <c r="A215" s="61" t="s">
        <v>195</v>
      </c>
      <c r="B215" s="19" t="s">
        <v>20</v>
      </c>
      <c r="C215" s="19" t="s">
        <v>7</v>
      </c>
      <c r="D215" s="19" t="s">
        <v>177</v>
      </c>
      <c r="E215" s="38" t="s">
        <v>193</v>
      </c>
      <c r="F215" s="11"/>
      <c r="G215" s="26">
        <f>4+1.807</f>
        <v>5.807</v>
      </c>
      <c r="H215" s="26"/>
      <c r="I215" s="68"/>
      <c r="J215" s="75"/>
      <c r="K215" s="73"/>
    </row>
    <row r="216" spans="1:11" s="37" customFormat="1" ht="31.5">
      <c r="A216" s="97" t="s">
        <v>72</v>
      </c>
      <c r="B216" s="19" t="s">
        <v>20</v>
      </c>
      <c r="C216" s="19" t="s">
        <v>7</v>
      </c>
      <c r="D216" s="19" t="s">
        <v>109</v>
      </c>
      <c r="E216" s="19"/>
      <c r="F216" s="11"/>
      <c r="G216" s="26">
        <f>G217+G228+G222+G220+G230</f>
        <v>1784.2730000000001</v>
      </c>
      <c r="H216" s="26">
        <f>H217+H228+H222+H220+H230</f>
        <v>0</v>
      </c>
      <c r="I216" s="26">
        <f>I217+I228+I222+I220+I230</f>
        <v>0</v>
      </c>
      <c r="J216" s="75"/>
      <c r="K216" s="73"/>
    </row>
    <row r="217" spans="1:11" s="37" customFormat="1" ht="31.5">
      <c r="A217" s="35" t="s">
        <v>86</v>
      </c>
      <c r="B217" s="19" t="s">
        <v>20</v>
      </c>
      <c r="C217" s="19" t="s">
        <v>7</v>
      </c>
      <c r="D217" s="19" t="s">
        <v>130</v>
      </c>
      <c r="E217" s="19"/>
      <c r="F217" s="11"/>
      <c r="G217" s="26">
        <f>G218+G219</f>
        <v>797.773</v>
      </c>
      <c r="H217" s="26">
        <f>H218+H219</f>
        <v>0</v>
      </c>
      <c r="I217" s="68">
        <f>I218+I219</f>
        <v>0</v>
      </c>
      <c r="J217" s="75"/>
      <c r="K217" s="73"/>
    </row>
    <row r="218" spans="1:11" s="3" customFormat="1" ht="47.25">
      <c r="A218" s="35" t="s">
        <v>70</v>
      </c>
      <c r="B218" s="19" t="s">
        <v>20</v>
      </c>
      <c r="C218" s="19" t="s">
        <v>7</v>
      </c>
      <c r="D218" s="19" t="s">
        <v>130</v>
      </c>
      <c r="E218" s="19" t="s">
        <v>69</v>
      </c>
      <c r="F218" s="14" t="e">
        <f>#REF!</f>
        <v>#REF!</v>
      </c>
      <c r="G218" s="15">
        <f>800-77.53-2.764-25.226-7.788-13.044-67+191.125</f>
        <v>797.773</v>
      </c>
      <c r="H218" s="15"/>
      <c r="I218" s="71"/>
      <c r="J218" s="32"/>
      <c r="K218" s="73"/>
    </row>
    <row r="219" spans="1:11" s="3" customFormat="1" ht="47.25" hidden="1">
      <c r="A219" s="61" t="s">
        <v>207</v>
      </c>
      <c r="B219" s="19" t="s">
        <v>20</v>
      </c>
      <c r="C219" s="19" t="s">
        <v>7</v>
      </c>
      <c r="D219" s="19" t="s">
        <v>130</v>
      </c>
      <c r="E219" s="19" t="s">
        <v>82</v>
      </c>
      <c r="F219" s="14"/>
      <c r="G219" s="15"/>
      <c r="H219" s="15"/>
      <c r="I219" s="71"/>
      <c r="J219" s="32"/>
      <c r="K219" s="73"/>
    </row>
    <row r="220" spans="1:11" s="3" customFormat="1" ht="95.25" customHeight="1">
      <c r="A220" s="97" t="s">
        <v>240</v>
      </c>
      <c r="B220" s="19" t="s">
        <v>20</v>
      </c>
      <c r="C220" s="19" t="s">
        <v>7</v>
      </c>
      <c r="D220" s="19" t="s">
        <v>131</v>
      </c>
      <c r="E220" s="19"/>
      <c r="F220" s="14"/>
      <c r="G220" s="15">
        <f>G221</f>
        <v>200</v>
      </c>
      <c r="H220" s="15">
        <f>H221</f>
        <v>0</v>
      </c>
      <c r="I220" s="15">
        <f>I221</f>
        <v>0</v>
      </c>
      <c r="J220" s="32"/>
      <c r="K220" s="73"/>
    </row>
    <row r="221" spans="1:11" s="3" customFormat="1" ht="80.25" customHeight="1">
      <c r="A221" s="45" t="s">
        <v>226</v>
      </c>
      <c r="B221" s="19" t="s">
        <v>20</v>
      </c>
      <c r="C221" s="19" t="s">
        <v>7</v>
      </c>
      <c r="D221" s="19" t="s">
        <v>131</v>
      </c>
      <c r="E221" s="19" t="s">
        <v>69</v>
      </c>
      <c r="F221" s="14"/>
      <c r="G221" s="15">
        <f>200</f>
        <v>200</v>
      </c>
      <c r="H221" s="15"/>
      <c r="I221" s="71"/>
      <c r="J221" s="32"/>
      <c r="K221" s="73"/>
    </row>
    <row r="222" spans="1:11" s="41" customFormat="1" ht="110.25">
      <c r="A222" s="35" t="s">
        <v>182</v>
      </c>
      <c r="B222" s="23" t="s">
        <v>20</v>
      </c>
      <c r="C222" s="23" t="s">
        <v>7</v>
      </c>
      <c r="D222" s="23" t="s">
        <v>181</v>
      </c>
      <c r="E222" s="23"/>
      <c r="F222" s="25"/>
      <c r="G222" s="26">
        <f>G225+G223+G224+G227+G226</f>
        <v>786.5</v>
      </c>
      <c r="H222" s="26">
        <f>H225+H223+H224+H227</f>
        <v>0</v>
      </c>
      <c r="I222" s="26">
        <f>I225+I223+I224+I227</f>
        <v>0</v>
      </c>
      <c r="J222" s="76"/>
      <c r="K222" s="86"/>
    </row>
    <row r="223" spans="1:11" s="41" customFormat="1" ht="15.75">
      <c r="A223" s="54" t="s">
        <v>172</v>
      </c>
      <c r="B223" s="23" t="s">
        <v>20</v>
      </c>
      <c r="C223" s="23" t="s">
        <v>7</v>
      </c>
      <c r="D223" s="23" t="s">
        <v>181</v>
      </c>
      <c r="E223" s="23" t="s">
        <v>80</v>
      </c>
      <c r="F223" s="25"/>
      <c r="G223" s="26">
        <v>100</v>
      </c>
      <c r="H223" s="26"/>
      <c r="I223" s="68"/>
      <c r="J223" s="76"/>
      <c r="K223" s="86"/>
    </row>
    <row r="224" spans="1:11" s="41" customFormat="1" ht="63">
      <c r="A224" s="97" t="s">
        <v>173</v>
      </c>
      <c r="B224" s="23" t="s">
        <v>20</v>
      </c>
      <c r="C224" s="23" t="s">
        <v>7</v>
      </c>
      <c r="D224" s="23" t="s">
        <v>181</v>
      </c>
      <c r="E224" s="23" t="s">
        <v>136</v>
      </c>
      <c r="F224" s="25"/>
      <c r="G224" s="26">
        <v>30</v>
      </c>
      <c r="H224" s="26"/>
      <c r="I224" s="68"/>
      <c r="J224" s="76"/>
      <c r="K224" s="86"/>
    </row>
    <row r="225" spans="1:11" s="41" customFormat="1" ht="47.25">
      <c r="A225" s="35" t="s">
        <v>70</v>
      </c>
      <c r="B225" s="23" t="s">
        <v>20</v>
      </c>
      <c r="C225" s="23" t="s">
        <v>7</v>
      </c>
      <c r="D225" s="23" t="s">
        <v>181</v>
      </c>
      <c r="E225" s="23" t="s">
        <v>69</v>
      </c>
      <c r="F225" s="25"/>
      <c r="G225" s="26">
        <f>639.5-350-3</f>
        <v>286.5</v>
      </c>
      <c r="H225" s="26"/>
      <c r="I225" s="68"/>
      <c r="J225" s="76"/>
      <c r="K225" s="86"/>
    </row>
    <row r="226" spans="1:11" s="41" customFormat="1" ht="15.75">
      <c r="A226" s="35" t="s">
        <v>392</v>
      </c>
      <c r="B226" s="23" t="s">
        <v>20</v>
      </c>
      <c r="C226" s="23" t="s">
        <v>7</v>
      </c>
      <c r="D226" s="23" t="s">
        <v>181</v>
      </c>
      <c r="E226" s="23" t="s">
        <v>391</v>
      </c>
      <c r="F226" s="25"/>
      <c r="G226" s="26">
        <v>350</v>
      </c>
      <c r="H226" s="26"/>
      <c r="I226" s="68"/>
      <c r="J226" s="76"/>
      <c r="K226" s="86"/>
    </row>
    <row r="227" spans="1:11" s="41" customFormat="1" ht="31.5">
      <c r="A227" s="61" t="s">
        <v>78</v>
      </c>
      <c r="B227" s="23" t="s">
        <v>20</v>
      </c>
      <c r="C227" s="23" t="s">
        <v>7</v>
      </c>
      <c r="D227" s="23" t="s">
        <v>181</v>
      </c>
      <c r="E227" s="23" t="s">
        <v>81</v>
      </c>
      <c r="F227" s="25"/>
      <c r="G227" s="26">
        <v>20</v>
      </c>
      <c r="H227" s="26"/>
      <c r="I227" s="68"/>
      <c r="J227" s="76"/>
      <c r="K227" s="86"/>
    </row>
    <row r="228" spans="1:11" s="37" customFormat="1" ht="31.5" hidden="1">
      <c r="A228" s="35" t="s">
        <v>162</v>
      </c>
      <c r="B228" s="23" t="s">
        <v>20</v>
      </c>
      <c r="C228" s="23" t="s">
        <v>7</v>
      </c>
      <c r="D228" s="23" t="s">
        <v>163</v>
      </c>
      <c r="E228" s="23"/>
      <c r="F228" s="25"/>
      <c r="G228" s="26">
        <f>G229</f>
        <v>0</v>
      </c>
      <c r="H228" s="12"/>
      <c r="I228" s="66"/>
      <c r="J228" s="75"/>
      <c r="K228" s="73"/>
    </row>
    <row r="229" spans="1:11" s="37" customFormat="1" ht="47.25" hidden="1">
      <c r="A229" s="35" t="s">
        <v>70</v>
      </c>
      <c r="B229" s="23" t="s">
        <v>20</v>
      </c>
      <c r="C229" s="23" t="s">
        <v>7</v>
      </c>
      <c r="D229" s="23" t="s">
        <v>163</v>
      </c>
      <c r="E229" s="23" t="s">
        <v>69</v>
      </c>
      <c r="F229" s="25"/>
      <c r="G229" s="26"/>
      <c r="H229" s="12"/>
      <c r="I229" s="66"/>
      <c r="J229" s="75"/>
      <c r="K229" s="73"/>
    </row>
    <row r="230" spans="1:11" s="37" customFormat="1" ht="47.25">
      <c r="A230" s="35" t="s">
        <v>406</v>
      </c>
      <c r="B230" s="23" t="s">
        <v>20</v>
      </c>
      <c r="C230" s="23" t="s">
        <v>7</v>
      </c>
      <c r="D230" s="23" t="s">
        <v>403</v>
      </c>
      <c r="E230" s="23"/>
      <c r="F230" s="25"/>
      <c r="G230" s="26">
        <f>G231</f>
        <v>0</v>
      </c>
      <c r="H230" s="12"/>
      <c r="I230" s="66"/>
      <c r="J230" s="75"/>
      <c r="K230" s="73"/>
    </row>
    <row r="231" spans="1:11" s="37" customFormat="1" ht="47.25">
      <c r="A231" s="35" t="s">
        <v>70</v>
      </c>
      <c r="B231" s="23" t="s">
        <v>20</v>
      </c>
      <c r="C231" s="23" t="s">
        <v>7</v>
      </c>
      <c r="D231" s="23" t="s">
        <v>403</v>
      </c>
      <c r="E231" s="23" t="s">
        <v>69</v>
      </c>
      <c r="F231" s="25"/>
      <c r="G231" s="26">
        <f>2100-2100</f>
        <v>0</v>
      </c>
      <c r="H231" s="12"/>
      <c r="I231" s="66"/>
      <c r="J231" s="75"/>
      <c r="K231" s="73"/>
    </row>
    <row r="232" spans="1:11" s="37" customFormat="1" ht="15.75">
      <c r="A232" s="98" t="s">
        <v>322</v>
      </c>
      <c r="B232" s="9" t="s">
        <v>20</v>
      </c>
      <c r="C232" s="9" t="s">
        <v>9</v>
      </c>
      <c r="D232" s="9"/>
      <c r="E232" s="9"/>
      <c r="F232" s="11">
        <f>F234</f>
        <v>161.6</v>
      </c>
      <c r="G232" s="12">
        <f>G234+G239+G236</f>
        <v>1525.6</v>
      </c>
      <c r="H232" s="12">
        <f>H234</f>
        <v>0</v>
      </c>
      <c r="I232" s="66">
        <f>I234</f>
        <v>0</v>
      </c>
      <c r="J232" s="75"/>
      <c r="K232" s="73"/>
    </row>
    <row r="233" spans="1:11" s="37" customFormat="1" ht="31.5">
      <c r="A233" s="36" t="s">
        <v>327</v>
      </c>
      <c r="B233" s="23" t="s">
        <v>20</v>
      </c>
      <c r="C233" s="23" t="s">
        <v>9</v>
      </c>
      <c r="D233" s="23" t="s">
        <v>326</v>
      </c>
      <c r="E233" s="9"/>
      <c r="F233" s="11"/>
      <c r="G233" s="26">
        <f>G234</f>
        <v>0</v>
      </c>
      <c r="H233" s="12"/>
      <c r="I233" s="66"/>
      <c r="J233" s="75"/>
      <c r="K233" s="73"/>
    </row>
    <row r="234" spans="1:11" s="3" customFormat="1" ht="47.25">
      <c r="A234" s="78" t="s">
        <v>328</v>
      </c>
      <c r="B234" s="19" t="s">
        <v>20</v>
      </c>
      <c r="C234" s="19" t="s">
        <v>9</v>
      </c>
      <c r="D234" s="19" t="s">
        <v>323</v>
      </c>
      <c r="E234" s="19"/>
      <c r="F234" s="14">
        <f>F238</f>
        <v>161.6</v>
      </c>
      <c r="G234" s="15">
        <f>G235</f>
        <v>0</v>
      </c>
      <c r="H234" s="15">
        <f>H235</f>
        <v>0</v>
      </c>
      <c r="I234" s="71">
        <f>I235</f>
        <v>0</v>
      </c>
      <c r="J234" s="32"/>
      <c r="K234" s="73"/>
    </row>
    <row r="235" spans="1:11" s="3" customFormat="1" ht="47.25">
      <c r="A235" s="35" t="s">
        <v>70</v>
      </c>
      <c r="B235" s="19" t="s">
        <v>20</v>
      </c>
      <c r="C235" s="19" t="s">
        <v>9</v>
      </c>
      <c r="D235" s="19" t="s">
        <v>323</v>
      </c>
      <c r="E235" s="19" t="s">
        <v>69</v>
      </c>
      <c r="F235" s="14">
        <f>F238</f>
        <v>161.6</v>
      </c>
      <c r="G235" s="15"/>
      <c r="H235" s="15">
        <f>H238</f>
        <v>0</v>
      </c>
      <c r="I235" s="71">
        <f>I238</f>
        <v>0</v>
      </c>
      <c r="J235" s="32"/>
      <c r="K235" s="73"/>
    </row>
    <row r="236" spans="1:11" s="3" customFormat="1" ht="78.75">
      <c r="A236" s="55" t="s">
        <v>344</v>
      </c>
      <c r="B236" s="19" t="s">
        <v>20</v>
      </c>
      <c r="C236" s="19" t="s">
        <v>9</v>
      </c>
      <c r="D236" s="19" t="s">
        <v>342</v>
      </c>
      <c r="E236" s="19"/>
      <c r="F236" s="14"/>
      <c r="G236" s="15">
        <f>G237</f>
        <v>1525.6</v>
      </c>
      <c r="H236" s="15"/>
      <c r="I236" s="71"/>
      <c r="J236" s="32"/>
      <c r="K236" s="73"/>
    </row>
    <row r="237" spans="1:11" s="3" customFormat="1" ht="63">
      <c r="A237" s="87" t="s">
        <v>345</v>
      </c>
      <c r="B237" s="19" t="s">
        <v>20</v>
      </c>
      <c r="C237" s="19" t="s">
        <v>9</v>
      </c>
      <c r="D237" s="19" t="s">
        <v>340</v>
      </c>
      <c r="E237" s="19"/>
      <c r="F237" s="14"/>
      <c r="G237" s="15">
        <f>G238</f>
        <v>1525.6</v>
      </c>
      <c r="H237" s="15"/>
      <c r="I237" s="71"/>
      <c r="J237" s="32"/>
      <c r="K237" s="73"/>
    </row>
    <row r="238" spans="1:11" s="3" customFormat="1" ht="47.25">
      <c r="A238" s="35" t="s">
        <v>70</v>
      </c>
      <c r="B238" s="19" t="s">
        <v>20</v>
      </c>
      <c r="C238" s="19" t="s">
        <v>9</v>
      </c>
      <c r="D238" s="19" t="s">
        <v>340</v>
      </c>
      <c r="E238" s="19" t="s">
        <v>341</v>
      </c>
      <c r="F238" s="14">
        <f>220-8-34.5-15.9</f>
        <v>161.6</v>
      </c>
      <c r="G238" s="15">
        <v>1525.6</v>
      </c>
      <c r="H238" s="15"/>
      <c r="I238" s="71"/>
      <c r="J238" s="32"/>
      <c r="K238" s="73"/>
    </row>
    <row r="239" spans="1:11" s="3" customFormat="1" ht="31.5">
      <c r="A239" s="87" t="s">
        <v>72</v>
      </c>
      <c r="B239" s="19" t="s">
        <v>20</v>
      </c>
      <c r="C239" s="19" t="s">
        <v>9</v>
      </c>
      <c r="D239" s="19" t="s">
        <v>109</v>
      </c>
      <c r="E239" s="19"/>
      <c r="F239" s="14"/>
      <c r="G239" s="15">
        <f>G240+G242+G244</f>
        <v>0</v>
      </c>
      <c r="H239" s="15">
        <f>H240+H242+H244</f>
        <v>0</v>
      </c>
      <c r="I239" s="15">
        <f>I240+I242+I244</f>
        <v>0</v>
      </c>
      <c r="J239" s="32"/>
      <c r="K239" s="73"/>
    </row>
    <row r="240" spans="1:11" s="3" customFormat="1" ht="112.5" customHeight="1">
      <c r="A240" s="87" t="s">
        <v>182</v>
      </c>
      <c r="B240" s="19" t="s">
        <v>20</v>
      </c>
      <c r="C240" s="19" t="s">
        <v>9</v>
      </c>
      <c r="D240" s="19" t="s">
        <v>147</v>
      </c>
      <c r="E240" s="19"/>
      <c r="F240" s="14"/>
      <c r="G240" s="15">
        <f>G241</f>
        <v>0</v>
      </c>
      <c r="H240" s="15"/>
      <c r="I240" s="71"/>
      <c r="J240" s="32"/>
      <c r="K240" s="73"/>
    </row>
    <row r="241" spans="1:11" s="3" customFormat="1" ht="15.75">
      <c r="A241" s="87" t="s">
        <v>56</v>
      </c>
      <c r="B241" s="19" t="s">
        <v>20</v>
      </c>
      <c r="C241" s="19" t="s">
        <v>9</v>
      </c>
      <c r="D241" s="19" t="s">
        <v>147</v>
      </c>
      <c r="E241" s="19" t="s">
        <v>87</v>
      </c>
      <c r="F241" s="14"/>
      <c r="G241" s="15"/>
      <c r="H241" s="15"/>
      <c r="I241" s="71"/>
      <c r="J241" s="32"/>
      <c r="K241" s="73"/>
    </row>
    <row r="242" spans="1:11" s="3" customFormat="1" ht="47.25">
      <c r="A242" s="87" t="s">
        <v>337</v>
      </c>
      <c r="B242" s="19" t="s">
        <v>20</v>
      </c>
      <c r="C242" s="19" t="s">
        <v>9</v>
      </c>
      <c r="D242" s="19" t="s">
        <v>174</v>
      </c>
      <c r="E242" s="19"/>
      <c r="F242" s="14"/>
      <c r="G242" s="15">
        <f>G243</f>
        <v>0</v>
      </c>
      <c r="H242" s="15"/>
      <c r="I242" s="71"/>
      <c r="J242" s="32"/>
      <c r="K242" s="73"/>
    </row>
    <row r="243" spans="1:11" s="3" customFormat="1" ht="15.75">
      <c r="A243" s="87" t="s">
        <v>56</v>
      </c>
      <c r="B243" s="19" t="s">
        <v>20</v>
      </c>
      <c r="C243" s="19" t="s">
        <v>9</v>
      </c>
      <c r="D243" s="19" t="s">
        <v>174</v>
      </c>
      <c r="E243" s="19" t="s">
        <v>87</v>
      </c>
      <c r="F243" s="14"/>
      <c r="G243" s="15"/>
      <c r="H243" s="15"/>
      <c r="I243" s="71"/>
      <c r="J243" s="32"/>
      <c r="K243" s="73"/>
    </row>
    <row r="244" spans="1:11" s="3" customFormat="1" ht="47.25">
      <c r="A244" s="87" t="s">
        <v>348</v>
      </c>
      <c r="B244" s="19" t="s">
        <v>20</v>
      </c>
      <c r="C244" s="19" t="s">
        <v>9</v>
      </c>
      <c r="D244" s="19" t="s">
        <v>347</v>
      </c>
      <c r="E244" s="19"/>
      <c r="F244" s="14"/>
      <c r="G244" s="15">
        <f>G245</f>
        <v>0</v>
      </c>
      <c r="H244" s="15">
        <f>H245</f>
        <v>0</v>
      </c>
      <c r="I244" s="15">
        <f>I245</f>
        <v>0</v>
      </c>
      <c r="J244" s="32"/>
      <c r="K244" s="73"/>
    </row>
    <row r="245" spans="1:11" s="3" customFormat="1" ht="15.75">
      <c r="A245" s="87" t="s">
        <v>56</v>
      </c>
      <c r="B245" s="19" t="s">
        <v>20</v>
      </c>
      <c r="C245" s="19" t="s">
        <v>9</v>
      </c>
      <c r="D245" s="19" t="s">
        <v>347</v>
      </c>
      <c r="E245" s="19" t="s">
        <v>87</v>
      </c>
      <c r="F245" s="14"/>
      <c r="G245" s="15">
        <v>0</v>
      </c>
      <c r="H245" s="15"/>
      <c r="I245" s="71"/>
      <c r="J245" s="32"/>
      <c r="K245" s="73"/>
    </row>
    <row r="246" spans="1:11" s="37" customFormat="1" ht="15.75">
      <c r="A246" s="98" t="s">
        <v>27</v>
      </c>
      <c r="B246" s="9" t="s">
        <v>28</v>
      </c>
      <c r="C246" s="9"/>
      <c r="D246" s="9"/>
      <c r="E246" s="9"/>
      <c r="F246" s="11" t="e">
        <f>F247+F309+#REF!+#REF!</f>
        <v>#REF!</v>
      </c>
      <c r="G246" s="29">
        <f>G247+G309+G380+G443</f>
        <v>176311.13700000002</v>
      </c>
      <c r="H246" s="12">
        <f>H247+H309+H443+H380+H430</f>
        <v>155220.9</v>
      </c>
      <c r="I246" s="66">
        <f>I247+I309+I443+I380+I430</f>
        <v>148689.30000000005</v>
      </c>
      <c r="J246" s="75"/>
      <c r="K246" s="73"/>
    </row>
    <row r="247" spans="1:11" s="37" customFormat="1" ht="15.75">
      <c r="A247" s="98" t="s">
        <v>29</v>
      </c>
      <c r="B247" s="9" t="s">
        <v>28</v>
      </c>
      <c r="C247" s="9" t="s">
        <v>6</v>
      </c>
      <c r="D247" s="9"/>
      <c r="E247" s="9"/>
      <c r="F247" s="11" t="e">
        <f>F305+#REF!+#REF!</f>
        <v>#REF!</v>
      </c>
      <c r="G247" s="29">
        <f>G248+G261+G290</f>
        <v>35773.268000000004</v>
      </c>
      <c r="H247" s="12">
        <f>H261+H305+H290+H248</f>
        <v>28593.7</v>
      </c>
      <c r="I247" s="12">
        <f>I261+I305+I290+I248</f>
        <v>28592.4</v>
      </c>
      <c r="J247" s="75"/>
      <c r="K247" s="73"/>
    </row>
    <row r="248" spans="1:11" s="3" customFormat="1" ht="78.75">
      <c r="A248" s="43" t="s">
        <v>363</v>
      </c>
      <c r="B248" s="9" t="s">
        <v>28</v>
      </c>
      <c r="C248" s="9" t="s">
        <v>6</v>
      </c>
      <c r="D248" s="9" t="s">
        <v>364</v>
      </c>
      <c r="E248" s="23"/>
      <c r="F248" s="14"/>
      <c r="G248" s="15">
        <f>G249+G251+G253+G255+G257+G259</f>
        <v>145.2</v>
      </c>
      <c r="H248" s="15">
        <f>H249+H251+H253+H255+H257+H259</f>
        <v>370.5</v>
      </c>
      <c r="I248" s="15">
        <f>I249+I251+I253+I255+I257+I259</f>
        <v>0</v>
      </c>
      <c r="J248" s="32"/>
      <c r="K248" s="73"/>
    </row>
    <row r="249" spans="1:11" s="3" customFormat="1" ht="47.25">
      <c r="A249" s="61" t="s">
        <v>365</v>
      </c>
      <c r="B249" s="19" t="s">
        <v>28</v>
      </c>
      <c r="C249" s="19" t="s">
        <v>6</v>
      </c>
      <c r="D249" s="19" t="s">
        <v>366</v>
      </c>
      <c r="E249" s="23"/>
      <c r="F249" s="14"/>
      <c r="G249" s="15">
        <f aca="true" t="shared" si="14" ref="G249:G259">G250</f>
        <v>122</v>
      </c>
      <c r="H249" s="15">
        <f>H250</f>
        <v>300</v>
      </c>
      <c r="I249" s="15">
        <f>I250</f>
        <v>0</v>
      </c>
      <c r="J249" s="32"/>
      <c r="K249" s="73"/>
    </row>
    <row r="250" spans="1:11" s="3" customFormat="1" ht="47.25">
      <c r="A250" s="61" t="s">
        <v>70</v>
      </c>
      <c r="B250" s="19" t="s">
        <v>28</v>
      </c>
      <c r="C250" s="19" t="s">
        <v>6</v>
      </c>
      <c r="D250" s="19" t="s">
        <v>366</v>
      </c>
      <c r="E250" s="23" t="s">
        <v>69</v>
      </c>
      <c r="F250" s="14"/>
      <c r="G250" s="15">
        <v>122</v>
      </c>
      <c r="H250" s="15">
        <v>300</v>
      </c>
      <c r="I250" s="71"/>
      <c r="J250" s="32"/>
      <c r="K250" s="73"/>
    </row>
    <row r="251" spans="1:11" s="3" customFormat="1" ht="47.25">
      <c r="A251" s="61" t="s">
        <v>367</v>
      </c>
      <c r="B251" s="19" t="s">
        <v>28</v>
      </c>
      <c r="C251" s="19" t="s">
        <v>6</v>
      </c>
      <c r="D251" s="19" t="s">
        <v>368</v>
      </c>
      <c r="E251" s="23"/>
      <c r="F251" s="14"/>
      <c r="G251" s="15">
        <f t="shared" si="14"/>
        <v>23.2</v>
      </c>
      <c r="H251" s="15">
        <f>H252</f>
        <v>14</v>
      </c>
      <c r="I251" s="15">
        <f>I252</f>
        <v>0</v>
      </c>
      <c r="J251" s="32"/>
      <c r="K251" s="73"/>
    </row>
    <row r="252" spans="1:11" s="3" customFormat="1" ht="47.25">
      <c r="A252" s="61" t="s">
        <v>70</v>
      </c>
      <c r="B252" s="19" t="s">
        <v>28</v>
      </c>
      <c r="C252" s="19" t="s">
        <v>6</v>
      </c>
      <c r="D252" s="19" t="s">
        <v>368</v>
      </c>
      <c r="E252" s="23" t="s">
        <v>69</v>
      </c>
      <c r="F252" s="14"/>
      <c r="G252" s="15">
        <v>23.2</v>
      </c>
      <c r="H252" s="15">
        <v>14</v>
      </c>
      <c r="I252" s="71"/>
      <c r="J252" s="32"/>
      <c r="K252" s="73"/>
    </row>
    <row r="253" spans="1:11" s="3" customFormat="1" ht="47.25">
      <c r="A253" s="61" t="s">
        <v>369</v>
      </c>
      <c r="B253" s="19" t="s">
        <v>28</v>
      </c>
      <c r="C253" s="19" t="s">
        <v>6</v>
      </c>
      <c r="D253" s="19" t="s">
        <v>370</v>
      </c>
      <c r="E253" s="23"/>
      <c r="F253" s="14"/>
      <c r="G253" s="15">
        <f t="shared" si="14"/>
        <v>0</v>
      </c>
      <c r="H253" s="15">
        <f>H254</f>
        <v>8</v>
      </c>
      <c r="I253" s="15">
        <f>I254</f>
        <v>0</v>
      </c>
      <c r="J253" s="32"/>
      <c r="K253" s="73"/>
    </row>
    <row r="254" spans="1:11" s="3" customFormat="1" ht="47.25">
      <c r="A254" s="61" t="s">
        <v>70</v>
      </c>
      <c r="B254" s="19" t="s">
        <v>28</v>
      </c>
      <c r="C254" s="19" t="s">
        <v>6</v>
      </c>
      <c r="D254" s="19" t="s">
        <v>370</v>
      </c>
      <c r="E254" s="23" t="s">
        <v>69</v>
      </c>
      <c r="F254" s="14"/>
      <c r="G254" s="15">
        <f t="shared" si="14"/>
        <v>0</v>
      </c>
      <c r="H254" s="15">
        <v>8</v>
      </c>
      <c r="I254" s="71"/>
      <c r="J254" s="32"/>
      <c r="K254" s="73"/>
    </row>
    <row r="255" spans="1:11" s="3" customFormat="1" ht="47.25">
      <c r="A255" s="61" t="s">
        <v>371</v>
      </c>
      <c r="B255" s="19" t="s">
        <v>28</v>
      </c>
      <c r="C255" s="19" t="s">
        <v>6</v>
      </c>
      <c r="D255" s="19" t="s">
        <v>372</v>
      </c>
      <c r="E255" s="23"/>
      <c r="F255" s="14"/>
      <c r="G255" s="15">
        <f t="shared" si="14"/>
        <v>0</v>
      </c>
      <c r="H255" s="15">
        <f>H256</f>
        <v>26</v>
      </c>
      <c r="I255" s="15">
        <f>I256</f>
        <v>0</v>
      </c>
      <c r="J255" s="32"/>
      <c r="K255" s="73"/>
    </row>
    <row r="256" spans="1:11" s="3" customFormat="1" ht="47.25">
      <c r="A256" s="61" t="s">
        <v>70</v>
      </c>
      <c r="B256" s="19" t="s">
        <v>28</v>
      </c>
      <c r="C256" s="19" t="s">
        <v>6</v>
      </c>
      <c r="D256" s="19" t="s">
        <v>372</v>
      </c>
      <c r="E256" s="23" t="s">
        <v>69</v>
      </c>
      <c r="F256" s="14"/>
      <c r="G256" s="15">
        <v>0</v>
      </c>
      <c r="H256" s="15">
        <v>26</v>
      </c>
      <c r="I256" s="71"/>
      <c r="J256" s="32"/>
      <c r="K256" s="73"/>
    </row>
    <row r="257" spans="1:11" s="3" customFormat="1" ht="31.5">
      <c r="A257" s="61" t="s">
        <v>373</v>
      </c>
      <c r="B257" s="19" t="s">
        <v>28</v>
      </c>
      <c r="C257" s="19" t="s">
        <v>6</v>
      </c>
      <c r="D257" s="19" t="s">
        <v>374</v>
      </c>
      <c r="E257" s="23"/>
      <c r="F257" s="14"/>
      <c r="G257" s="15">
        <f t="shared" si="14"/>
        <v>0</v>
      </c>
      <c r="H257" s="15">
        <f>H258</f>
        <v>15</v>
      </c>
      <c r="I257" s="15">
        <f>I258</f>
        <v>0</v>
      </c>
      <c r="J257" s="32"/>
      <c r="K257" s="73"/>
    </row>
    <row r="258" spans="1:11" s="3" customFormat="1" ht="47.25">
      <c r="A258" s="61" t="s">
        <v>70</v>
      </c>
      <c r="B258" s="19" t="s">
        <v>28</v>
      </c>
      <c r="C258" s="19" t="s">
        <v>6</v>
      </c>
      <c r="D258" s="19" t="s">
        <v>374</v>
      </c>
      <c r="E258" s="23" t="s">
        <v>69</v>
      </c>
      <c r="F258" s="14"/>
      <c r="G258" s="15">
        <v>0</v>
      </c>
      <c r="H258" s="15">
        <v>15</v>
      </c>
      <c r="I258" s="71"/>
      <c r="J258" s="32"/>
      <c r="K258" s="73"/>
    </row>
    <row r="259" spans="1:11" s="3" customFormat="1" ht="31.5">
      <c r="A259" s="61" t="s">
        <v>375</v>
      </c>
      <c r="B259" s="19" t="s">
        <v>28</v>
      </c>
      <c r="C259" s="19" t="s">
        <v>6</v>
      </c>
      <c r="D259" s="19" t="s">
        <v>376</v>
      </c>
      <c r="E259" s="23"/>
      <c r="F259" s="14"/>
      <c r="G259" s="15">
        <f t="shared" si="14"/>
        <v>0</v>
      </c>
      <c r="H259" s="15">
        <f>H260</f>
        <v>7.5</v>
      </c>
      <c r="I259" s="15">
        <f>I260</f>
        <v>0</v>
      </c>
      <c r="J259" s="32"/>
      <c r="K259" s="73"/>
    </row>
    <row r="260" spans="1:11" s="3" customFormat="1" ht="47.25">
      <c r="A260" s="61" t="s">
        <v>70</v>
      </c>
      <c r="B260" s="19" t="s">
        <v>28</v>
      </c>
      <c r="C260" s="19" t="s">
        <v>6</v>
      </c>
      <c r="D260" s="19" t="s">
        <v>376</v>
      </c>
      <c r="E260" s="23" t="s">
        <v>69</v>
      </c>
      <c r="F260" s="14"/>
      <c r="G260" s="15">
        <v>0</v>
      </c>
      <c r="H260" s="15">
        <v>7.5</v>
      </c>
      <c r="I260" s="71"/>
      <c r="J260" s="32"/>
      <c r="K260" s="73"/>
    </row>
    <row r="261" spans="1:11" s="3" customFormat="1" ht="47.25">
      <c r="A261" s="43" t="s">
        <v>273</v>
      </c>
      <c r="B261" s="19" t="s">
        <v>28</v>
      </c>
      <c r="C261" s="19" t="s">
        <v>6</v>
      </c>
      <c r="D261" s="19" t="s">
        <v>137</v>
      </c>
      <c r="E261" s="19"/>
      <c r="F261" s="14"/>
      <c r="G261" s="15">
        <f>G262+G273+G284+G286+G288</f>
        <v>30598.413</v>
      </c>
      <c r="H261" s="15">
        <f>H262+H273+H284+H286+H288</f>
        <v>23758.2</v>
      </c>
      <c r="I261" s="15">
        <f>I262+I273+I284+I286+I288</f>
        <v>23979.3</v>
      </c>
      <c r="J261" s="32"/>
      <c r="K261" s="73"/>
    </row>
    <row r="262" spans="1:11" s="3" customFormat="1" ht="31.5">
      <c r="A262" s="35" t="s">
        <v>203</v>
      </c>
      <c r="B262" s="19" t="s">
        <v>28</v>
      </c>
      <c r="C262" s="19" t="s">
        <v>6</v>
      </c>
      <c r="D262" s="19" t="s">
        <v>138</v>
      </c>
      <c r="E262" s="19"/>
      <c r="F262" s="14"/>
      <c r="G262" s="15">
        <f>G263+G264+G266+G270+G271+G265+G268+G272+G267+G269</f>
        <v>14590.813000000002</v>
      </c>
      <c r="H262" s="15">
        <f>H263+H264+H266+H270+H271+H265+H268+H272+H267+H269</f>
        <v>12152.2</v>
      </c>
      <c r="I262" s="15">
        <f>I263+I264+I266+I270+I271+I265+I268+I272+I267+I269</f>
        <v>11822.199999999999</v>
      </c>
      <c r="J262" s="32"/>
      <c r="K262" s="73"/>
    </row>
    <row r="263" spans="1:11" s="3" customFormat="1" ht="15.75">
      <c r="A263" s="54" t="s">
        <v>172</v>
      </c>
      <c r="B263" s="19" t="s">
        <v>28</v>
      </c>
      <c r="C263" s="19" t="s">
        <v>6</v>
      </c>
      <c r="D263" s="19" t="s">
        <v>138</v>
      </c>
      <c r="E263" s="19" t="s">
        <v>80</v>
      </c>
      <c r="F263" s="14"/>
      <c r="G263" s="20">
        <v>5176.6</v>
      </c>
      <c r="H263" s="15">
        <v>5647.2</v>
      </c>
      <c r="I263" s="71">
        <v>5647.2</v>
      </c>
      <c r="J263" s="32"/>
      <c r="K263" s="73"/>
    </row>
    <row r="264" spans="1:11" s="3" customFormat="1" ht="47.25">
      <c r="A264" s="54" t="s">
        <v>77</v>
      </c>
      <c r="B264" s="19" t="s">
        <v>28</v>
      </c>
      <c r="C264" s="19" t="s">
        <v>6</v>
      </c>
      <c r="D264" s="19" t="s">
        <v>138</v>
      </c>
      <c r="E264" s="19" t="s">
        <v>61</v>
      </c>
      <c r="F264" s="14"/>
      <c r="G264" s="20"/>
      <c r="H264" s="15"/>
      <c r="I264" s="71"/>
      <c r="J264" s="32"/>
      <c r="K264" s="73"/>
    </row>
    <row r="265" spans="1:11" s="3" customFormat="1" ht="63">
      <c r="A265" s="97" t="s">
        <v>173</v>
      </c>
      <c r="B265" s="19" t="s">
        <v>28</v>
      </c>
      <c r="C265" s="19" t="s">
        <v>6</v>
      </c>
      <c r="D265" s="19" t="s">
        <v>138</v>
      </c>
      <c r="E265" s="19" t="s">
        <v>136</v>
      </c>
      <c r="F265" s="14"/>
      <c r="G265" s="20">
        <v>1316</v>
      </c>
      <c r="H265" s="15">
        <v>1705</v>
      </c>
      <c r="I265" s="71">
        <v>1705</v>
      </c>
      <c r="J265" s="32"/>
      <c r="K265" s="73"/>
    </row>
    <row r="266" spans="1:11" s="3" customFormat="1" ht="47.25">
      <c r="A266" s="54" t="s">
        <v>70</v>
      </c>
      <c r="B266" s="19" t="s">
        <v>28</v>
      </c>
      <c r="C266" s="19" t="s">
        <v>6</v>
      </c>
      <c r="D266" s="19" t="s">
        <v>138</v>
      </c>
      <c r="E266" s="38" t="s">
        <v>69</v>
      </c>
      <c r="F266" s="14"/>
      <c r="G266" s="20">
        <f>6945.85-1817.2+10.904+481.332+0.607+74.32+9-121.379+3.021+19.83+34.523+1.613+119.738+131.699+4.5-370.854+9.608+9+39+14.37+27.461</f>
        <v>5626.943000000001</v>
      </c>
      <c r="H266" s="15">
        <f>4800-1843.5</f>
        <v>2956.5</v>
      </c>
      <c r="I266" s="71">
        <f>4470-1860.8</f>
        <v>2609.2</v>
      </c>
      <c r="J266" s="32"/>
      <c r="K266" s="73"/>
    </row>
    <row r="267" spans="1:11" s="3" customFormat="1" ht="63">
      <c r="A267" s="94" t="s">
        <v>346</v>
      </c>
      <c r="B267" s="19" t="s">
        <v>28</v>
      </c>
      <c r="C267" s="19" t="s">
        <v>6</v>
      </c>
      <c r="D267" s="19" t="s">
        <v>138</v>
      </c>
      <c r="E267" s="38" t="s">
        <v>334</v>
      </c>
      <c r="F267" s="14"/>
      <c r="G267" s="20"/>
      <c r="H267" s="15"/>
      <c r="I267" s="71"/>
      <c r="J267" s="32"/>
      <c r="K267" s="73"/>
    </row>
    <row r="268" spans="1:11" s="3" customFormat="1" ht="56.25" customHeight="1">
      <c r="A268" s="61" t="s">
        <v>207</v>
      </c>
      <c r="B268" s="19" t="s">
        <v>28</v>
      </c>
      <c r="C268" s="19" t="s">
        <v>6</v>
      </c>
      <c r="D268" s="19" t="s">
        <v>138</v>
      </c>
      <c r="E268" s="38" t="s">
        <v>82</v>
      </c>
      <c r="F268" s="14"/>
      <c r="G268" s="20"/>
      <c r="H268" s="15"/>
      <c r="I268" s="71"/>
      <c r="J268" s="32"/>
      <c r="K268" s="73"/>
    </row>
    <row r="269" spans="1:11" s="3" customFormat="1" ht="16.5" customHeight="1">
      <c r="A269" s="61" t="s">
        <v>392</v>
      </c>
      <c r="B269" s="19" t="s">
        <v>28</v>
      </c>
      <c r="C269" s="19" t="s">
        <v>6</v>
      </c>
      <c r="D269" s="19" t="s">
        <v>138</v>
      </c>
      <c r="E269" s="38" t="s">
        <v>391</v>
      </c>
      <c r="F269" s="14"/>
      <c r="G269" s="20">
        <f>1817.2+121.379+370.854+45.8</f>
        <v>2355.233</v>
      </c>
      <c r="H269" s="15">
        <v>1843.5</v>
      </c>
      <c r="I269" s="71">
        <v>1860.8</v>
      </c>
      <c r="J269" s="32"/>
      <c r="K269" s="73"/>
    </row>
    <row r="270" spans="1:11" s="3" customFormat="1" ht="31.5">
      <c r="A270" s="61" t="s">
        <v>71</v>
      </c>
      <c r="B270" s="19" t="s">
        <v>28</v>
      </c>
      <c r="C270" s="19" t="s">
        <v>6</v>
      </c>
      <c r="D270" s="19" t="s">
        <v>138</v>
      </c>
      <c r="E270" s="38" t="s">
        <v>73</v>
      </c>
      <c r="F270" s="14"/>
      <c r="G270" s="20">
        <f>263.3-9-0.5-52.251-34.823-39-14.37</f>
        <v>113.356</v>
      </c>
      <c r="H270" s="15"/>
      <c r="I270" s="71"/>
      <c r="J270" s="32"/>
      <c r="K270" s="73"/>
    </row>
    <row r="271" spans="1:11" s="3" customFormat="1" ht="31.5">
      <c r="A271" s="61" t="s">
        <v>78</v>
      </c>
      <c r="B271" s="19" t="s">
        <v>28</v>
      </c>
      <c r="C271" s="19" t="s">
        <v>6</v>
      </c>
      <c r="D271" s="19" t="s">
        <v>138</v>
      </c>
      <c r="E271" s="38" t="s">
        <v>81</v>
      </c>
      <c r="F271" s="14"/>
      <c r="G271" s="20"/>
      <c r="H271" s="15"/>
      <c r="I271" s="71"/>
      <c r="J271" s="32"/>
      <c r="K271" s="73"/>
    </row>
    <row r="272" spans="1:11" s="3" customFormat="1" ht="15.75">
      <c r="A272" s="61" t="s">
        <v>195</v>
      </c>
      <c r="B272" s="19" t="s">
        <v>28</v>
      </c>
      <c r="C272" s="19" t="s">
        <v>6</v>
      </c>
      <c r="D272" s="19" t="s">
        <v>138</v>
      </c>
      <c r="E272" s="38" t="s">
        <v>193</v>
      </c>
      <c r="F272" s="14"/>
      <c r="G272" s="20">
        <f>0.5+1.07+1.111</f>
        <v>2.681</v>
      </c>
      <c r="H272" s="15"/>
      <c r="I272" s="71"/>
      <c r="J272" s="32"/>
      <c r="K272" s="73"/>
    </row>
    <row r="273" spans="1:11" s="3" customFormat="1" ht="47.25">
      <c r="A273" s="35" t="s">
        <v>241</v>
      </c>
      <c r="B273" s="23" t="s">
        <v>28</v>
      </c>
      <c r="C273" s="23" t="s">
        <v>6</v>
      </c>
      <c r="D273" s="23" t="s">
        <v>139</v>
      </c>
      <c r="E273" s="23"/>
      <c r="F273" s="14">
        <f>F275</f>
        <v>42</v>
      </c>
      <c r="G273" s="15">
        <f>G274+G278+G282</f>
        <v>13428.6</v>
      </c>
      <c r="H273" s="15">
        <f>H274+H278+H282</f>
        <v>11606</v>
      </c>
      <c r="I273" s="71">
        <f>I274+I278+I282</f>
        <v>12157.1</v>
      </c>
      <c r="J273" s="32"/>
      <c r="K273" s="73"/>
    </row>
    <row r="274" spans="1:11" s="3" customFormat="1" ht="78.75">
      <c r="A274" s="35" t="s">
        <v>242</v>
      </c>
      <c r="B274" s="23" t="s">
        <v>28</v>
      </c>
      <c r="C274" s="23" t="s">
        <v>6</v>
      </c>
      <c r="D274" s="23" t="s">
        <v>216</v>
      </c>
      <c r="E274" s="23"/>
      <c r="F274" s="14"/>
      <c r="G274" s="15">
        <f>G275+G276+G277</f>
        <v>9901.5</v>
      </c>
      <c r="H274" s="15">
        <f>H275+H276+H277</f>
        <v>9901.5</v>
      </c>
      <c r="I274" s="71">
        <f>I275+I276+I277</f>
        <v>9901.5</v>
      </c>
      <c r="J274" s="32"/>
      <c r="K274" s="73"/>
    </row>
    <row r="275" spans="1:11" s="3" customFormat="1" ht="15.75">
      <c r="A275" s="54" t="s">
        <v>172</v>
      </c>
      <c r="B275" s="23" t="s">
        <v>28</v>
      </c>
      <c r="C275" s="23" t="s">
        <v>6</v>
      </c>
      <c r="D275" s="23" t="s">
        <v>216</v>
      </c>
      <c r="E275" s="23" t="s">
        <v>80</v>
      </c>
      <c r="F275" s="14">
        <v>42</v>
      </c>
      <c r="G275" s="15">
        <v>7604.8</v>
      </c>
      <c r="H275" s="15">
        <v>7604.8</v>
      </c>
      <c r="I275" s="15">
        <v>7604.8</v>
      </c>
      <c r="J275" s="32"/>
      <c r="K275" s="73"/>
    </row>
    <row r="276" spans="1:11" s="3" customFormat="1" ht="47.25" hidden="1">
      <c r="A276" s="54" t="s">
        <v>77</v>
      </c>
      <c r="B276" s="23" t="s">
        <v>28</v>
      </c>
      <c r="C276" s="23" t="s">
        <v>6</v>
      </c>
      <c r="D276" s="23" t="s">
        <v>216</v>
      </c>
      <c r="E276" s="23" t="s">
        <v>61</v>
      </c>
      <c r="F276" s="14"/>
      <c r="G276" s="15"/>
      <c r="H276" s="15"/>
      <c r="I276" s="71"/>
      <c r="J276" s="32"/>
      <c r="K276" s="73"/>
    </row>
    <row r="277" spans="1:11" s="3" customFormat="1" ht="69" customHeight="1">
      <c r="A277" s="97" t="s">
        <v>173</v>
      </c>
      <c r="B277" s="23" t="s">
        <v>28</v>
      </c>
      <c r="C277" s="23" t="s">
        <v>6</v>
      </c>
      <c r="D277" s="23" t="s">
        <v>216</v>
      </c>
      <c r="E277" s="23" t="s">
        <v>136</v>
      </c>
      <c r="F277" s="14"/>
      <c r="G277" s="15">
        <v>2296.7</v>
      </c>
      <c r="H277" s="15">
        <v>2296.7</v>
      </c>
      <c r="I277" s="15">
        <v>2296.7</v>
      </c>
      <c r="J277" s="32"/>
      <c r="K277" s="73"/>
    </row>
    <row r="278" spans="1:11" s="3" customFormat="1" ht="97.5" customHeight="1">
      <c r="A278" s="54" t="s">
        <v>243</v>
      </c>
      <c r="B278" s="23" t="s">
        <v>28</v>
      </c>
      <c r="C278" s="23" t="s">
        <v>6</v>
      </c>
      <c r="D278" s="23" t="s">
        <v>217</v>
      </c>
      <c r="E278" s="23"/>
      <c r="F278" s="14"/>
      <c r="G278" s="15">
        <f>G279+G280+G281</f>
        <v>3338.7000000000003</v>
      </c>
      <c r="H278" s="15">
        <f>H279+H280+H281</f>
        <v>1704.5</v>
      </c>
      <c r="I278" s="71">
        <f>I279+I280+I281</f>
        <v>2255.6000000000004</v>
      </c>
      <c r="J278" s="32"/>
      <c r="K278" s="73"/>
    </row>
    <row r="279" spans="1:11" s="3" customFormat="1" ht="15.75">
      <c r="A279" s="54" t="s">
        <v>172</v>
      </c>
      <c r="B279" s="23" t="s">
        <v>28</v>
      </c>
      <c r="C279" s="23" t="s">
        <v>6</v>
      </c>
      <c r="D279" s="23" t="s">
        <v>217</v>
      </c>
      <c r="E279" s="23" t="s">
        <v>80</v>
      </c>
      <c r="F279" s="14"/>
      <c r="G279" s="88">
        <f>2709-144.7</f>
        <v>2564.3</v>
      </c>
      <c r="H279" s="88">
        <v>1309.1</v>
      </c>
      <c r="I279" s="71">
        <v>1732.4</v>
      </c>
      <c r="J279" s="32"/>
      <c r="K279" s="73"/>
    </row>
    <row r="280" spans="1:11" s="3" customFormat="1" ht="47.25">
      <c r="A280" s="54" t="s">
        <v>77</v>
      </c>
      <c r="B280" s="23" t="s">
        <v>28</v>
      </c>
      <c r="C280" s="23" t="s">
        <v>6</v>
      </c>
      <c r="D280" s="23" t="s">
        <v>217</v>
      </c>
      <c r="E280" s="23" t="s">
        <v>61</v>
      </c>
      <c r="F280" s="14"/>
      <c r="G280" s="15"/>
      <c r="H280" s="15"/>
      <c r="I280" s="71"/>
      <c r="J280" s="32"/>
      <c r="K280" s="73"/>
    </row>
    <row r="281" spans="1:11" s="3" customFormat="1" ht="61.5" customHeight="1">
      <c r="A281" s="97" t="s">
        <v>173</v>
      </c>
      <c r="B281" s="23" t="s">
        <v>28</v>
      </c>
      <c r="C281" s="23" t="s">
        <v>6</v>
      </c>
      <c r="D281" s="23" t="s">
        <v>217</v>
      </c>
      <c r="E281" s="23" t="s">
        <v>136</v>
      </c>
      <c r="F281" s="14"/>
      <c r="G281" s="88">
        <f>818.1-43.7</f>
        <v>774.4</v>
      </c>
      <c r="H281" s="15">
        <v>395.4</v>
      </c>
      <c r="I281" s="71">
        <v>523.2</v>
      </c>
      <c r="J281" s="32"/>
      <c r="K281" s="73"/>
    </row>
    <row r="282" spans="1:11" s="3" customFormat="1" ht="68.25" customHeight="1">
      <c r="A282" s="54" t="s">
        <v>244</v>
      </c>
      <c r="B282" s="23" t="s">
        <v>28</v>
      </c>
      <c r="C282" s="23" t="s">
        <v>6</v>
      </c>
      <c r="D282" s="23" t="s">
        <v>218</v>
      </c>
      <c r="E282" s="23"/>
      <c r="F282" s="14"/>
      <c r="G282" s="15">
        <f>G283</f>
        <v>188.4</v>
      </c>
      <c r="H282" s="15">
        <f>H283</f>
        <v>0</v>
      </c>
      <c r="I282" s="71">
        <f>I283</f>
        <v>0</v>
      </c>
      <c r="J282" s="32"/>
      <c r="K282" s="73"/>
    </row>
    <row r="283" spans="1:11" s="3" customFormat="1" ht="51" customHeight="1">
      <c r="A283" s="54" t="s">
        <v>70</v>
      </c>
      <c r="B283" s="23" t="s">
        <v>28</v>
      </c>
      <c r="C283" s="23" t="s">
        <v>6</v>
      </c>
      <c r="D283" s="23" t="s">
        <v>218</v>
      </c>
      <c r="E283" s="23" t="s">
        <v>69</v>
      </c>
      <c r="F283" s="14"/>
      <c r="G283" s="15">
        <v>188.4</v>
      </c>
      <c r="H283" s="15"/>
      <c r="I283" s="71"/>
      <c r="J283" s="32"/>
      <c r="K283" s="73"/>
    </row>
    <row r="284" spans="1:11" s="3" customFormat="1" ht="78.75">
      <c r="A284" s="54" t="s">
        <v>199</v>
      </c>
      <c r="B284" s="23" t="s">
        <v>28</v>
      </c>
      <c r="C284" s="23" t="s">
        <v>6</v>
      </c>
      <c r="D284" s="23" t="s">
        <v>333</v>
      </c>
      <c r="E284" s="23"/>
      <c r="F284" s="14"/>
      <c r="G284" s="15">
        <f>G285</f>
        <v>79</v>
      </c>
      <c r="H284" s="15">
        <f>H285</f>
        <v>0</v>
      </c>
      <c r="I284" s="71">
        <f>I285</f>
        <v>0</v>
      </c>
      <c r="J284" s="32"/>
      <c r="K284" s="73"/>
    </row>
    <row r="285" spans="1:11" s="3" customFormat="1" ht="47.25">
      <c r="A285" s="54" t="s">
        <v>70</v>
      </c>
      <c r="B285" s="23" t="s">
        <v>28</v>
      </c>
      <c r="C285" s="23" t="s">
        <v>6</v>
      </c>
      <c r="D285" s="23" t="s">
        <v>333</v>
      </c>
      <c r="E285" s="23" t="s">
        <v>69</v>
      </c>
      <c r="F285" s="14"/>
      <c r="G285" s="15">
        <v>79</v>
      </c>
      <c r="H285" s="15"/>
      <c r="I285" s="71"/>
      <c r="J285" s="32"/>
      <c r="K285" s="73"/>
    </row>
    <row r="286" spans="1:11" s="3" customFormat="1" ht="47.25">
      <c r="A286" s="87" t="s">
        <v>348</v>
      </c>
      <c r="B286" s="19" t="s">
        <v>28</v>
      </c>
      <c r="C286" s="19" t="s">
        <v>6</v>
      </c>
      <c r="D286" s="19" t="s">
        <v>349</v>
      </c>
      <c r="E286" s="23"/>
      <c r="F286" s="14"/>
      <c r="G286" s="15">
        <f>G287</f>
        <v>0</v>
      </c>
      <c r="H286" s="15">
        <f>H287</f>
        <v>0</v>
      </c>
      <c r="I286" s="15">
        <f>I287</f>
        <v>0</v>
      </c>
      <c r="J286" s="32"/>
      <c r="K286" s="73"/>
    </row>
    <row r="287" spans="1:11" s="3" customFormat="1" ht="47.25">
      <c r="A287" s="54" t="s">
        <v>70</v>
      </c>
      <c r="B287" s="19" t="s">
        <v>28</v>
      </c>
      <c r="C287" s="19" t="s">
        <v>6</v>
      </c>
      <c r="D287" s="19" t="s">
        <v>349</v>
      </c>
      <c r="E287" s="23" t="s">
        <v>69</v>
      </c>
      <c r="F287" s="14"/>
      <c r="G287" s="15"/>
      <c r="H287" s="15"/>
      <c r="I287" s="71"/>
      <c r="J287" s="32"/>
      <c r="K287" s="73"/>
    </row>
    <row r="288" spans="1:11" s="3" customFormat="1" ht="63">
      <c r="A288" s="61" t="s">
        <v>331</v>
      </c>
      <c r="B288" s="19" t="s">
        <v>28</v>
      </c>
      <c r="C288" s="19" t="s">
        <v>6</v>
      </c>
      <c r="D288" s="19" t="s">
        <v>405</v>
      </c>
      <c r="E288" s="23"/>
      <c r="F288" s="14"/>
      <c r="G288" s="15">
        <f>G289</f>
        <v>2500</v>
      </c>
      <c r="H288" s="15">
        <f>H289</f>
        <v>0</v>
      </c>
      <c r="I288" s="15">
        <f>I289</f>
        <v>0</v>
      </c>
      <c r="J288" s="32"/>
      <c r="K288" s="73"/>
    </row>
    <row r="289" spans="1:11" s="3" customFormat="1" ht="47.25">
      <c r="A289" s="54" t="s">
        <v>70</v>
      </c>
      <c r="B289" s="19" t="s">
        <v>28</v>
      </c>
      <c r="C289" s="19" t="s">
        <v>6</v>
      </c>
      <c r="D289" s="19" t="s">
        <v>405</v>
      </c>
      <c r="E289" s="23" t="s">
        <v>69</v>
      </c>
      <c r="F289" s="14"/>
      <c r="G289" s="15">
        <v>2500</v>
      </c>
      <c r="H289" s="15"/>
      <c r="I289" s="71"/>
      <c r="J289" s="32"/>
      <c r="K289" s="73"/>
    </row>
    <row r="290" spans="1:11" s="3" customFormat="1" ht="53.25" customHeight="1">
      <c r="A290" s="43" t="s">
        <v>275</v>
      </c>
      <c r="B290" s="19" t="s">
        <v>28</v>
      </c>
      <c r="C290" s="19" t="s">
        <v>6</v>
      </c>
      <c r="D290" s="19" t="s">
        <v>142</v>
      </c>
      <c r="E290" s="19"/>
      <c r="F290" s="14"/>
      <c r="G290" s="15">
        <f>G295+G291</f>
        <v>5029.655000000001</v>
      </c>
      <c r="H290" s="15">
        <f>H295+H291</f>
        <v>4465</v>
      </c>
      <c r="I290" s="71">
        <f>I295+I291</f>
        <v>4613.1</v>
      </c>
      <c r="J290" s="32"/>
      <c r="K290" s="73"/>
    </row>
    <row r="291" spans="1:11" s="3" customFormat="1" ht="31.5">
      <c r="A291" s="36" t="s">
        <v>202</v>
      </c>
      <c r="B291" s="19" t="s">
        <v>28</v>
      </c>
      <c r="C291" s="19" t="s">
        <v>6</v>
      </c>
      <c r="D291" s="19" t="s">
        <v>143</v>
      </c>
      <c r="E291" s="19"/>
      <c r="F291" s="14"/>
      <c r="G291" s="15">
        <f>G294+G292+G293</f>
        <v>1422.855</v>
      </c>
      <c r="H291" s="15">
        <f>H294</f>
        <v>1348.1</v>
      </c>
      <c r="I291" s="71">
        <f>I294</f>
        <v>1348.1</v>
      </c>
      <c r="J291" s="32"/>
      <c r="K291" s="73"/>
    </row>
    <row r="292" spans="1:11" s="3" customFormat="1" ht="15.75" hidden="1">
      <c r="A292" s="54" t="s">
        <v>172</v>
      </c>
      <c r="B292" s="19" t="s">
        <v>28</v>
      </c>
      <c r="C292" s="19" t="s">
        <v>6</v>
      </c>
      <c r="D292" s="19" t="s">
        <v>143</v>
      </c>
      <c r="E292" s="19" t="s">
        <v>80</v>
      </c>
      <c r="F292" s="14"/>
      <c r="G292" s="15"/>
      <c r="H292" s="15"/>
      <c r="I292" s="71"/>
      <c r="J292" s="32"/>
      <c r="K292" s="73"/>
    </row>
    <row r="293" spans="1:11" s="3" customFormat="1" ht="63">
      <c r="A293" s="97" t="s">
        <v>173</v>
      </c>
      <c r="B293" s="19" t="s">
        <v>28</v>
      </c>
      <c r="C293" s="19" t="s">
        <v>6</v>
      </c>
      <c r="D293" s="19" t="s">
        <v>143</v>
      </c>
      <c r="E293" s="19" t="s">
        <v>136</v>
      </c>
      <c r="F293" s="14"/>
      <c r="G293" s="15">
        <f>0.007+70.443</f>
        <v>70.45</v>
      </c>
      <c r="H293" s="15"/>
      <c r="I293" s="71"/>
      <c r="J293" s="32"/>
      <c r="K293" s="73"/>
    </row>
    <row r="294" spans="1:11" s="3" customFormat="1" ht="53.25" customHeight="1">
      <c r="A294" s="54" t="s">
        <v>70</v>
      </c>
      <c r="B294" s="19" t="s">
        <v>28</v>
      </c>
      <c r="C294" s="19" t="s">
        <v>6</v>
      </c>
      <c r="D294" s="19" t="s">
        <v>143</v>
      </c>
      <c r="E294" s="19" t="s">
        <v>69</v>
      </c>
      <c r="F294" s="14"/>
      <c r="G294" s="15">
        <f>1348.1+4.305</f>
        <v>1352.405</v>
      </c>
      <c r="H294" s="15">
        <v>1348.1</v>
      </c>
      <c r="I294" s="71">
        <v>1348.1</v>
      </c>
      <c r="J294" s="32"/>
      <c r="K294" s="73"/>
    </row>
    <row r="295" spans="1:11" s="3" customFormat="1" ht="78.75">
      <c r="A295" s="54" t="s">
        <v>245</v>
      </c>
      <c r="B295" s="19" t="s">
        <v>28</v>
      </c>
      <c r="C295" s="19" t="s">
        <v>6</v>
      </c>
      <c r="D295" s="19" t="s">
        <v>219</v>
      </c>
      <c r="E295" s="19"/>
      <c r="F295" s="14"/>
      <c r="G295" s="15">
        <f>G296+G299+G303</f>
        <v>3606.8</v>
      </c>
      <c r="H295" s="15">
        <f>H296+H299+H303</f>
        <v>3116.8999999999996</v>
      </c>
      <c r="I295" s="71">
        <f>I296+I299+I303</f>
        <v>3265</v>
      </c>
      <c r="J295" s="32"/>
      <c r="K295" s="73"/>
    </row>
    <row r="296" spans="1:11" s="3" customFormat="1" ht="110.25">
      <c r="A296" s="54" t="s">
        <v>246</v>
      </c>
      <c r="B296" s="19" t="s">
        <v>28</v>
      </c>
      <c r="C296" s="19" t="s">
        <v>6</v>
      </c>
      <c r="D296" s="19" t="s">
        <v>220</v>
      </c>
      <c r="E296" s="19"/>
      <c r="F296" s="14"/>
      <c r="G296" s="15">
        <f>G297+G298</f>
        <v>2658.7</v>
      </c>
      <c r="H296" s="15">
        <f>H297+H298</f>
        <v>2658.7</v>
      </c>
      <c r="I296" s="71">
        <f>I297+I298</f>
        <v>2658.7</v>
      </c>
      <c r="J296" s="32"/>
      <c r="K296" s="73"/>
    </row>
    <row r="297" spans="1:11" s="3" customFormat="1" ht="15.75">
      <c r="A297" s="54" t="s">
        <v>172</v>
      </c>
      <c r="B297" s="19" t="s">
        <v>28</v>
      </c>
      <c r="C297" s="19" t="s">
        <v>6</v>
      </c>
      <c r="D297" s="19" t="s">
        <v>220</v>
      </c>
      <c r="E297" s="19" t="s">
        <v>80</v>
      </c>
      <c r="F297" s="14"/>
      <c r="G297" s="15">
        <v>2042</v>
      </c>
      <c r="H297" s="15">
        <v>2042</v>
      </c>
      <c r="I297" s="15">
        <v>2042</v>
      </c>
      <c r="J297" s="32"/>
      <c r="K297" s="73"/>
    </row>
    <row r="298" spans="1:11" s="3" customFormat="1" ht="63">
      <c r="A298" s="100" t="s">
        <v>173</v>
      </c>
      <c r="B298" s="19" t="s">
        <v>28</v>
      </c>
      <c r="C298" s="19" t="s">
        <v>6</v>
      </c>
      <c r="D298" s="19" t="s">
        <v>220</v>
      </c>
      <c r="E298" s="19" t="s">
        <v>136</v>
      </c>
      <c r="F298" s="14"/>
      <c r="G298" s="15">
        <v>616.7</v>
      </c>
      <c r="H298" s="15">
        <v>616.7</v>
      </c>
      <c r="I298" s="15">
        <v>616.7</v>
      </c>
      <c r="J298" s="32"/>
      <c r="K298" s="73"/>
    </row>
    <row r="299" spans="1:11" s="3" customFormat="1" ht="110.25">
      <c r="A299" s="61" t="s">
        <v>247</v>
      </c>
      <c r="B299" s="19" t="s">
        <v>28</v>
      </c>
      <c r="C299" s="19" t="s">
        <v>6</v>
      </c>
      <c r="D299" s="19" t="s">
        <v>221</v>
      </c>
      <c r="E299" s="23"/>
      <c r="F299" s="14"/>
      <c r="G299" s="15">
        <f>G300+G302+G301</f>
        <v>897.6000000000001</v>
      </c>
      <c r="H299" s="15">
        <f>H300+H302+H301</f>
        <v>458.2</v>
      </c>
      <c r="I299" s="71">
        <f>I300+I302+I301</f>
        <v>606.3</v>
      </c>
      <c r="J299" s="32"/>
      <c r="K299" s="73"/>
    </row>
    <row r="300" spans="1:11" s="3" customFormat="1" ht="15.75">
      <c r="A300" s="54" t="s">
        <v>172</v>
      </c>
      <c r="B300" s="19" t="s">
        <v>28</v>
      </c>
      <c r="C300" s="19" t="s">
        <v>6</v>
      </c>
      <c r="D300" s="19" t="s">
        <v>221</v>
      </c>
      <c r="E300" s="19" t="s">
        <v>80</v>
      </c>
      <c r="F300" s="14"/>
      <c r="G300" s="15">
        <f>728.2-38.8</f>
        <v>689.4000000000001</v>
      </c>
      <c r="H300" s="15">
        <v>351.9</v>
      </c>
      <c r="I300" s="71">
        <v>465.7</v>
      </c>
      <c r="J300" s="32"/>
      <c r="K300" s="73"/>
    </row>
    <row r="301" spans="1:11" s="3" customFormat="1" ht="47.25" hidden="1">
      <c r="A301" s="36" t="s">
        <v>77</v>
      </c>
      <c r="B301" s="19" t="s">
        <v>28</v>
      </c>
      <c r="C301" s="19" t="s">
        <v>6</v>
      </c>
      <c r="D301" s="19" t="s">
        <v>221</v>
      </c>
      <c r="E301" s="19" t="s">
        <v>61</v>
      </c>
      <c r="F301" s="14"/>
      <c r="G301" s="15"/>
      <c r="H301" s="15"/>
      <c r="I301" s="71"/>
      <c r="J301" s="32"/>
      <c r="K301" s="73"/>
    </row>
    <row r="302" spans="1:11" s="3" customFormat="1" ht="63">
      <c r="A302" s="100" t="s">
        <v>173</v>
      </c>
      <c r="B302" s="19" t="s">
        <v>28</v>
      </c>
      <c r="C302" s="19" t="s">
        <v>6</v>
      </c>
      <c r="D302" s="19" t="s">
        <v>221</v>
      </c>
      <c r="E302" s="19" t="s">
        <v>136</v>
      </c>
      <c r="F302" s="14"/>
      <c r="G302" s="15">
        <f>219.9-11.7</f>
        <v>208.20000000000002</v>
      </c>
      <c r="H302" s="15">
        <v>106.3</v>
      </c>
      <c r="I302" s="71">
        <v>140.6</v>
      </c>
      <c r="J302" s="32"/>
      <c r="K302" s="73"/>
    </row>
    <row r="303" spans="1:11" s="3" customFormat="1" ht="99" customHeight="1">
      <c r="A303" s="61" t="s">
        <v>248</v>
      </c>
      <c r="B303" s="19" t="s">
        <v>28</v>
      </c>
      <c r="C303" s="19" t="s">
        <v>6</v>
      </c>
      <c r="D303" s="19" t="s">
        <v>228</v>
      </c>
      <c r="E303" s="19"/>
      <c r="F303" s="14"/>
      <c r="G303" s="15">
        <f>G304</f>
        <v>50.5</v>
      </c>
      <c r="H303" s="15">
        <f>H304</f>
        <v>0</v>
      </c>
      <c r="I303" s="71">
        <f>I304</f>
        <v>0</v>
      </c>
      <c r="J303" s="32"/>
      <c r="K303" s="73"/>
    </row>
    <row r="304" spans="1:11" s="3" customFormat="1" ht="47.25">
      <c r="A304" s="36" t="s">
        <v>70</v>
      </c>
      <c r="B304" s="19" t="s">
        <v>28</v>
      </c>
      <c r="C304" s="19" t="s">
        <v>6</v>
      </c>
      <c r="D304" s="19" t="s">
        <v>228</v>
      </c>
      <c r="E304" s="19" t="s">
        <v>69</v>
      </c>
      <c r="F304" s="14"/>
      <c r="G304" s="15">
        <v>50.5</v>
      </c>
      <c r="H304" s="15"/>
      <c r="I304" s="71"/>
      <c r="J304" s="32"/>
      <c r="K304" s="73"/>
    </row>
    <row r="305" spans="1:11" s="3" customFormat="1" ht="31.5">
      <c r="A305" s="97" t="s">
        <v>72</v>
      </c>
      <c r="B305" s="19" t="s">
        <v>28</v>
      </c>
      <c r="C305" s="19" t="s">
        <v>6</v>
      </c>
      <c r="D305" s="19" t="s">
        <v>109</v>
      </c>
      <c r="E305" s="19"/>
      <c r="F305" s="14" t="e">
        <f>#REF!</f>
        <v>#REF!</v>
      </c>
      <c r="G305" s="15">
        <f>G306</f>
        <v>0</v>
      </c>
      <c r="H305" s="15">
        <f>H306</f>
        <v>0</v>
      </c>
      <c r="I305" s="71">
        <f>I306</f>
        <v>0</v>
      </c>
      <c r="J305" s="32"/>
      <c r="K305" s="73"/>
    </row>
    <row r="306" spans="1:11" s="3" customFormat="1" ht="81" customHeight="1">
      <c r="A306" s="35" t="s">
        <v>249</v>
      </c>
      <c r="B306" s="19" t="s">
        <v>28</v>
      </c>
      <c r="C306" s="19" t="s">
        <v>6</v>
      </c>
      <c r="D306" s="19" t="s">
        <v>185</v>
      </c>
      <c r="E306" s="19"/>
      <c r="F306" s="14"/>
      <c r="G306" s="15">
        <f>G307+G308</f>
        <v>0</v>
      </c>
      <c r="H306" s="15">
        <f>H307+H308</f>
        <v>0</v>
      </c>
      <c r="I306" s="71">
        <f>I307+I308</f>
        <v>0</v>
      </c>
      <c r="J306" s="32"/>
      <c r="K306" s="73"/>
    </row>
    <row r="307" spans="1:11" s="3" customFormat="1" ht="15.75">
      <c r="A307" s="54" t="s">
        <v>172</v>
      </c>
      <c r="B307" s="19" t="s">
        <v>28</v>
      </c>
      <c r="C307" s="19" t="s">
        <v>6</v>
      </c>
      <c r="D307" s="19" t="s">
        <v>185</v>
      </c>
      <c r="E307" s="19" t="s">
        <v>80</v>
      </c>
      <c r="F307" s="14"/>
      <c r="G307" s="15"/>
      <c r="H307" s="15"/>
      <c r="I307" s="71"/>
      <c r="J307" s="32"/>
      <c r="K307" s="73"/>
    </row>
    <row r="308" spans="1:11" s="3" customFormat="1" ht="63">
      <c r="A308" s="97" t="s">
        <v>173</v>
      </c>
      <c r="B308" s="19" t="s">
        <v>28</v>
      </c>
      <c r="C308" s="19" t="s">
        <v>6</v>
      </c>
      <c r="D308" s="19" t="s">
        <v>185</v>
      </c>
      <c r="E308" s="19" t="s">
        <v>136</v>
      </c>
      <c r="F308" s="14"/>
      <c r="G308" s="15"/>
      <c r="H308" s="15"/>
      <c r="I308" s="71"/>
      <c r="J308" s="32"/>
      <c r="K308" s="73"/>
    </row>
    <row r="309" spans="1:11" s="37" customFormat="1" ht="15.75">
      <c r="A309" s="98" t="s">
        <v>30</v>
      </c>
      <c r="B309" s="9" t="s">
        <v>28</v>
      </c>
      <c r="C309" s="9" t="s">
        <v>7</v>
      </c>
      <c r="D309" s="9"/>
      <c r="E309" s="9"/>
      <c r="F309" s="11" t="e">
        <f>F328+F408+#REF!+#REF!</f>
        <v>#REF!</v>
      </c>
      <c r="G309" s="12">
        <f>G328+G370+G310+G313</f>
        <v>129462.501</v>
      </c>
      <c r="H309" s="12">
        <f>H328+H370+H310+H313</f>
        <v>115879.79999999999</v>
      </c>
      <c r="I309" s="12">
        <f>I328+I370+I310+I313</f>
        <v>109111.00000000001</v>
      </c>
      <c r="J309" s="75"/>
      <c r="K309" s="73"/>
    </row>
    <row r="310" spans="1:11" s="37" customFormat="1" ht="78.75">
      <c r="A310" s="49" t="s">
        <v>361</v>
      </c>
      <c r="B310" s="23" t="s">
        <v>28</v>
      </c>
      <c r="C310" s="23" t="s">
        <v>7</v>
      </c>
      <c r="D310" s="23" t="s">
        <v>113</v>
      </c>
      <c r="E310" s="23"/>
      <c r="F310" s="25"/>
      <c r="G310" s="26">
        <f aca="true" t="shared" si="15" ref="G310:I311">G311</f>
        <v>7046.3</v>
      </c>
      <c r="H310" s="26">
        <f t="shared" si="15"/>
        <v>6423.7</v>
      </c>
      <c r="I310" s="26">
        <f t="shared" si="15"/>
        <v>787.3</v>
      </c>
      <c r="J310" s="75"/>
      <c r="K310" s="73"/>
    </row>
    <row r="311" spans="1:11" s="37" customFormat="1" ht="84" customHeight="1">
      <c r="A311" s="36" t="s">
        <v>360</v>
      </c>
      <c r="B311" s="23" t="s">
        <v>28</v>
      </c>
      <c r="C311" s="23" t="s">
        <v>7</v>
      </c>
      <c r="D311" s="23" t="s">
        <v>362</v>
      </c>
      <c r="E311" s="23"/>
      <c r="F311" s="25"/>
      <c r="G311" s="26">
        <f t="shared" si="15"/>
        <v>7046.3</v>
      </c>
      <c r="H311" s="26">
        <f t="shared" si="15"/>
        <v>6423.7</v>
      </c>
      <c r="I311" s="26">
        <f t="shared" si="15"/>
        <v>787.3</v>
      </c>
      <c r="J311" s="75"/>
      <c r="K311" s="73"/>
    </row>
    <row r="312" spans="1:11" s="37" customFormat="1" ht="47.25">
      <c r="A312" s="36" t="s">
        <v>70</v>
      </c>
      <c r="B312" s="23" t="s">
        <v>28</v>
      </c>
      <c r="C312" s="23" t="s">
        <v>7</v>
      </c>
      <c r="D312" s="23" t="s">
        <v>362</v>
      </c>
      <c r="E312" s="23" t="s">
        <v>69</v>
      </c>
      <c r="F312" s="25"/>
      <c r="G312" s="26">
        <v>7046.3</v>
      </c>
      <c r="H312" s="26">
        <v>6423.7</v>
      </c>
      <c r="I312" s="68">
        <v>787.3</v>
      </c>
      <c r="J312" s="75"/>
      <c r="K312" s="73"/>
    </row>
    <row r="313" spans="1:11" s="37" customFormat="1" ht="78.75">
      <c r="A313" s="43" t="s">
        <v>363</v>
      </c>
      <c r="B313" s="9" t="s">
        <v>28</v>
      </c>
      <c r="C313" s="9" t="s">
        <v>7</v>
      </c>
      <c r="D313" s="9" t="s">
        <v>364</v>
      </c>
      <c r="E313" s="9"/>
      <c r="F313" s="25"/>
      <c r="G313" s="26">
        <f>G314+G316+G318+G324</f>
        <v>1003.1999999999999</v>
      </c>
      <c r="H313" s="26">
        <f>H314+H316+H318+H320+H322+H324+H326</f>
        <v>719</v>
      </c>
      <c r="I313" s="26">
        <f>I314+I316+I318+I320+I322+I324+I326</f>
        <v>0</v>
      </c>
      <c r="J313" s="75"/>
      <c r="K313" s="73"/>
    </row>
    <row r="314" spans="1:11" s="37" customFormat="1" ht="47.25">
      <c r="A314" s="61" t="s">
        <v>365</v>
      </c>
      <c r="B314" s="19" t="s">
        <v>28</v>
      </c>
      <c r="C314" s="19" t="s">
        <v>7</v>
      </c>
      <c r="D314" s="19" t="s">
        <v>366</v>
      </c>
      <c r="E314" s="19"/>
      <c r="F314" s="25"/>
      <c r="G314" s="26">
        <f aca="true" t="shared" si="16" ref="G314:G326">G315</f>
        <v>860</v>
      </c>
      <c r="H314" s="26">
        <f>H315</f>
        <v>500</v>
      </c>
      <c r="I314" s="26">
        <f>I315</f>
        <v>0</v>
      </c>
      <c r="J314" s="75"/>
      <c r="K314" s="73"/>
    </row>
    <row r="315" spans="1:11" s="37" customFormat="1" ht="47.25">
      <c r="A315" s="61" t="s">
        <v>70</v>
      </c>
      <c r="B315" s="19" t="s">
        <v>28</v>
      </c>
      <c r="C315" s="19" t="s">
        <v>7</v>
      </c>
      <c r="D315" s="19" t="s">
        <v>366</v>
      </c>
      <c r="E315" s="19" t="s">
        <v>69</v>
      </c>
      <c r="F315" s="25"/>
      <c r="G315" s="26">
        <v>860</v>
      </c>
      <c r="H315" s="26">
        <v>500</v>
      </c>
      <c r="I315" s="68"/>
      <c r="J315" s="75"/>
      <c r="K315" s="73"/>
    </row>
    <row r="316" spans="1:11" s="37" customFormat="1" ht="47.25">
      <c r="A316" s="61" t="s">
        <v>367</v>
      </c>
      <c r="B316" s="19" t="s">
        <v>28</v>
      </c>
      <c r="C316" s="19" t="s">
        <v>7</v>
      </c>
      <c r="D316" s="19" t="s">
        <v>368</v>
      </c>
      <c r="E316" s="19"/>
      <c r="F316" s="25"/>
      <c r="G316" s="26">
        <f t="shared" si="16"/>
        <v>76.8</v>
      </c>
      <c r="H316" s="26">
        <f>H317</f>
        <v>60</v>
      </c>
      <c r="I316" s="26">
        <f>I317</f>
        <v>0</v>
      </c>
      <c r="J316" s="75"/>
      <c r="K316" s="73"/>
    </row>
    <row r="317" spans="1:11" s="37" customFormat="1" ht="47.25">
      <c r="A317" s="61" t="s">
        <v>70</v>
      </c>
      <c r="B317" s="19" t="s">
        <v>28</v>
      </c>
      <c r="C317" s="19" t="s">
        <v>7</v>
      </c>
      <c r="D317" s="19" t="s">
        <v>368</v>
      </c>
      <c r="E317" s="19" t="s">
        <v>69</v>
      </c>
      <c r="F317" s="25"/>
      <c r="G317" s="26">
        <v>76.8</v>
      </c>
      <c r="H317" s="26">
        <v>60</v>
      </c>
      <c r="I317" s="68"/>
      <c r="J317" s="75"/>
      <c r="K317" s="73"/>
    </row>
    <row r="318" spans="1:11" s="37" customFormat="1" ht="47.25">
      <c r="A318" s="61" t="s">
        <v>377</v>
      </c>
      <c r="B318" s="19" t="s">
        <v>28</v>
      </c>
      <c r="C318" s="19" t="s">
        <v>7</v>
      </c>
      <c r="D318" s="19" t="s">
        <v>378</v>
      </c>
      <c r="E318" s="19"/>
      <c r="F318" s="25"/>
      <c r="G318" s="26">
        <f t="shared" si="16"/>
        <v>2</v>
      </c>
      <c r="H318" s="26">
        <f>H319</f>
        <v>2</v>
      </c>
      <c r="I318" s="26">
        <f>I319</f>
        <v>0</v>
      </c>
      <c r="J318" s="75"/>
      <c r="K318" s="73"/>
    </row>
    <row r="319" spans="1:11" s="37" customFormat="1" ht="47.25">
      <c r="A319" s="61" t="s">
        <v>70</v>
      </c>
      <c r="B319" s="19" t="s">
        <v>28</v>
      </c>
      <c r="C319" s="19" t="s">
        <v>7</v>
      </c>
      <c r="D319" s="19" t="s">
        <v>378</v>
      </c>
      <c r="E319" s="19" t="s">
        <v>69</v>
      </c>
      <c r="F319" s="25"/>
      <c r="G319" s="26">
        <v>2</v>
      </c>
      <c r="H319" s="26">
        <v>2</v>
      </c>
      <c r="I319" s="68"/>
      <c r="J319" s="75"/>
      <c r="K319" s="73"/>
    </row>
    <row r="320" spans="1:11" s="37" customFormat="1" ht="47.25">
      <c r="A320" s="61" t="s">
        <v>369</v>
      </c>
      <c r="B320" s="19" t="s">
        <v>28</v>
      </c>
      <c r="C320" s="19" t="s">
        <v>7</v>
      </c>
      <c r="D320" s="19" t="s">
        <v>370</v>
      </c>
      <c r="E320" s="19"/>
      <c r="F320" s="25"/>
      <c r="G320" s="26">
        <f t="shared" si="16"/>
        <v>0</v>
      </c>
      <c r="H320" s="26">
        <f>H321</f>
        <v>10</v>
      </c>
      <c r="I320" s="26">
        <f>I321</f>
        <v>0</v>
      </c>
      <c r="J320" s="75"/>
      <c r="K320" s="73"/>
    </row>
    <row r="321" spans="1:11" s="37" customFormat="1" ht="47.25">
      <c r="A321" s="61" t="s">
        <v>70</v>
      </c>
      <c r="B321" s="19" t="s">
        <v>28</v>
      </c>
      <c r="C321" s="19" t="s">
        <v>7</v>
      </c>
      <c r="D321" s="19" t="s">
        <v>370</v>
      </c>
      <c r="E321" s="19" t="s">
        <v>69</v>
      </c>
      <c r="F321" s="25"/>
      <c r="G321" s="26">
        <f t="shared" si="16"/>
        <v>0</v>
      </c>
      <c r="H321" s="26">
        <v>10</v>
      </c>
      <c r="I321" s="68"/>
      <c r="J321" s="75"/>
      <c r="K321" s="73"/>
    </row>
    <row r="322" spans="1:11" s="37" customFormat="1" ht="47.25">
      <c r="A322" s="61" t="s">
        <v>371</v>
      </c>
      <c r="B322" s="19" t="s">
        <v>28</v>
      </c>
      <c r="C322" s="19" t="s">
        <v>7</v>
      </c>
      <c r="D322" s="19" t="s">
        <v>372</v>
      </c>
      <c r="E322" s="19"/>
      <c r="F322" s="25"/>
      <c r="G322" s="26">
        <f t="shared" si="16"/>
        <v>0</v>
      </c>
      <c r="H322" s="26">
        <f>H323</f>
        <v>100</v>
      </c>
      <c r="I322" s="26">
        <f>I323</f>
        <v>0</v>
      </c>
      <c r="J322" s="75"/>
      <c r="K322" s="73"/>
    </row>
    <row r="323" spans="1:11" s="37" customFormat="1" ht="47.25">
      <c r="A323" s="61" t="s">
        <v>70</v>
      </c>
      <c r="B323" s="19" t="s">
        <v>28</v>
      </c>
      <c r="C323" s="19" t="s">
        <v>7</v>
      </c>
      <c r="D323" s="19" t="s">
        <v>372</v>
      </c>
      <c r="E323" s="19" t="s">
        <v>69</v>
      </c>
      <c r="F323" s="25"/>
      <c r="G323" s="26"/>
      <c r="H323" s="26">
        <v>100</v>
      </c>
      <c r="I323" s="68"/>
      <c r="J323" s="75"/>
      <c r="K323" s="73"/>
    </row>
    <row r="324" spans="1:11" s="37" customFormat="1" ht="31.5">
      <c r="A324" s="61" t="s">
        <v>373</v>
      </c>
      <c r="B324" s="19" t="s">
        <v>28</v>
      </c>
      <c r="C324" s="19" t="s">
        <v>7</v>
      </c>
      <c r="D324" s="19" t="s">
        <v>374</v>
      </c>
      <c r="E324" s="19"/>
      <c r="F324" s="25"/>
      <c r="G324" s="26">
        <f t="shared" si="16"/>
        <v>64.4</v>
      </c>
      <c r="H324" s="26">
        <f>H325</f>
        <v>40</v>
      </c>
      <c r="I324" s="26">
        <f>I325</f>
        <v>0</v>
      </c>
      <c r="J324" s="75"/>
      <c r="K324" s="73"/>
    </row>
    <row r="325" spans="1:11" s="37" customFormat="1" ht="47.25">
      <c r="A325" s="61" t="s">
        <v>70</v>
      </c>
      <c r="B325" s="19" t="s">
        <v>28</v>
      </c>
      <c r="C325" s="19" t="s">
        <v>7</v>
      </c>
      <c r="D325" s="19" t="s">
        <v>374</v>
      </c>
      <c r="E325" s="19" t="s">
        <v>69</v>
      </c>
      <c r="F325" s="25"/>
      <c r="G325" s="26">
        <v>64.4</v>
      </c>
      <c r="H325" s="26">
        <v>40</v>
      </c>
      <c r="I325" s="68"/>
      <c r="J325" s="75"/>
      <c r="K325" s="73"/>
    </row>
    <row r="326" spans="1:11" s="37" customFormat="1" ht="31.5">
      <c r="A326" s="61" t="s">
        <v>375</v>
      </c>
      <c r="B326" s="19" t="s">
        <v>28</v>
      </c>
      <c r="C326" s="19" t="s">
        <v>7</v>
      </c>
      <c r="D326" s="19" t="s">
        <v>376</v>
      </c>
      <c r="E326" s="19"/>
      <c r="F326" s="25"/>
      <c r="G326" s="26">
        <f t="shared" si="16"/>
        <v>0</v>
      </c>
      <c r="H326" s="26">
        <f>H327</f>
        <v>7</v>
      </c>
      <c r="I326" s="26">
        <f>I327</f>
        <v>0</v>
      </c>
      <c r="J326" s="75"/>
      <c r="K326" s="73"/>
    </row>
    <row r="327" spans="1:11" s="37" customFormat="1" ht="47.25">
      <c r="A327" s="61" t="s">
        <v>70</v>
      </c>
      <c r="B327" s="19" t="s">
        <v>28</v>
      </c>
      <c r="C327" s="19" t="s">
        <v>7</v>
      </c>
      <c r="D327" s="19" t="s">
        <v>376</v>
      </c>
      <c r="E327" s="19" t="s">
        <v>69</v>
      </c>
      <c r="F327" s="25"/>
      <c r="G327" s="26"/>
      <c r="H327" s="26">
        <v>7</v>
      </c>
      <c r="I327" s="68"/>
      <c r="J327" s="75"/>
      <c r="K327" s="73"/>
    </row>
    <row r="328" spans="1:11" s="3" customFormat="1" ht="47.25">
      <c r="A328" s="43" t="s">
        <v>275</v>
      </c>
      <c r="B328" s="19" t="s">
        <v>28</v>
      </c>
      <c r="C328" s="19" t="s">
        <v>7</v>
      </c>
      <c r="D328" s="19" t="s">
        <v>142</v>
      </c>
      <c r="E328" s="19"/>
      <c r="F328" s="14">
        <f>F337</f>
        <v>47835</v>
      </c>
      <c r="G328" s="15">
        <f>G329+G345+G356+G358+G364+G360+G342+G368+G340+G366</f>
        <v>116640.501</v>
      </c>
      <c r="H328" s="15">
        <f>H329+H345+H356+H358+H364+H360+H342+H368+H340+H366</f>
        <v>105521.4</v>
      </c>
      <c r="I328" s="15">
        <f>I329+I345+I356+I358+I364+I360+I342+I368+I340+I366+I362</f>
        <v>105105.20000000001</v>
      </c>
      <c r="J328" s="32"/>
      <c r="K328" s="73"/>
    </row>
    <row r="329" spans="1:11" s="3" customFormat="1" ht="31.5">
      <c r="A329" s="36" t="s">
        <v>202</v>
      </c>
      <c r="B329" s="19" t="s">
        <v>28</v>
      </c>
      <c r="C329" s="19" t="s">
        <v>7</v>
      </c>
      <c r="D329" s="19" t="s">
        <v>143</v>
      </c>
      <c r="E329" s="19"/>
      <c r="F329" s="14">
        <f>F331</f>
        <v>47835</v>
      </c>
      <c r="G329" s="15">
        <f>G331+G333+G337+G338+G335+G330+G332+G339+G334+G336</f>
        <v>19141.200999999997</v>
      </c>
      <c r="H329" s="15">
        <f>H331+H333+H337+H338+H335+H330+H332+H339+H334+H336</f>
        <v>15569.2</v>
      </c>
      <c r="I329" s="15">
        <f>I331+I333+I337+I338+I335+I330+I332+I339+I334+I336</f>
        <v>16069.2</v>
      </c>
      <c r="J329" s="32"/>
      <c r="K329" s="73"/>
    </row>
    <row r="330" spans="1:11" s="3" customFormat="1" ht="15.75">
      <c r="A330" s="54" t="s">
        <v>172</v>
      </c>
      <c r="B330" s="19" t="s">
        <v>28</v>
      </c>
      <c r="C330" s="19" t="s">
        <v>7</v>
      </c>
      <c r="D330" s="19" t="s">
        <v>143</v>
      </c>
      <c r="E330" s="19" t="s">
        <v>80</v>
      </c>
      <c r="F330" s="14"/>
      <c r="G330" s="15">
        <f>401</f>
        <v>401</v>
      </c>
      <c r="H330" s="15">
        <v>437.2</v>
      </c>
      <c r="I330" s="71">
        <v>437.2</v>
      </c>
      <c r="J330" s="32"/>
      <c r="K330" s="73"/>
    </row>
    <row r="331" spans="1:11" s="3" customFormat="1" ht="51.75" customHeight="1" hidden="1">
      <c r="A331" s="36" t="s">
        <v>77</v>
      </c>
      <c r="B331" s="19" t="s">
        <v>28</v>
      </c>
      <c r="C331" s="19" t="s">
        <v>7</v>
      </c>
      <c r="D331" s="19" t="s">
        <v>143</v>
      </c>
      <c r="E331" s="19" t="s">
        <v>61</v>
      </c>
      <c r="F331" s="14">
        <f>46925+710+200</f>
        <v>47835</v>
      </c>
      <c r="G331" s="15"/>
      <c r="H331" s="15"/>
      <c r="I331" s="71"/>
      <c r="J331" s="32"/>
      <c r="K331" s="73"/>
    </row>
    <row r="332" spans="1:11" s="3" customFormat="1" ht="63">
      <c r="A332" s="100" t="s">
        <v>173</v>
      </c>
      <c r="B332" s="19" t="s">
        <v>28</v>
      </c>
      <c r="C332" s="19" t="s">
        <v>7</v>
      </c>
      <c r="D332" s="19" t="s">
        <v>143</v>
      </c>
      <c r="E332" s="19" t="s">
        <v>136</v>
      </c>
      <c r="F332" s="14"/>
      <c r="G332" s="15">
        <f>102+0.27+231.212</f>
        <v>333.48199999999997</v>
      </c>
      <c r="H332" s="15">
        <v>132</v>
      </c>
      <c r="I332" s="71">
        <v>132</v>
      </c>
      <c r="J332" s="32"/>
      <c r="K332" s="73"/>
    </row>
    <row r="333" spans="1:11" s="3" customFormat="1" ht="47.25">
      <c r="A333" s="101" t="s">
        <v>70</v>
      </c>
      <c r="B333" s="57" t="s">
        <v>28</v>
      </c>
      <c r="C333" s="57" t="s">
        <v>7</v>
      </c>
      <c r="D333" s="57" t="s">
        <v>143</v>
      </c>
      <c r="E333" s="57" t="s">
        <v>69</v>
      </c>
      <c r="F333" s="81">
        <f>F337</f>
        <v>47835</v>
      </c>
      <c r="G333" s="82">
        <f>14262.12-5155.4+66.626+999.906+334.696+93.545+221.516-967.901+143.708+5.3+71.659+159.147+24.947+3.3+134+55.367-131.699+34.487-435.321+27.75+77.547+140.427+77.071+5.768-3.71+21.148+1000</f>
        <v>11266.003999999999</v>
      </c>
      <c r="H333" s="20">
        <f>15000-5930</f>
        <v>9070</v>
      </c>
      <c r="I333" s="72">
        <f>15500-5895.7</f>
        <v>9604.3</v>
      </c>
      <c r="J333" s="32"/>
      <c r="K333" s="73"/>
    </row>
    <row r="334" spans="1:11" s="3" customFormat="1" ht="63">
      <c r="A334" s="101" t="s">
        <v>346</v>
      </c>
      <c r="B334" s="19" t="s">
        <v>28</v>
      </c>
      <c r="C334" s="19" t="s">
        <v>7</v>
      </c>
      <c r="D334" s="19" t="s">
        <v>143</v>
      </c>
      <c r="E334" s="57" t="s">
        <v>334</v>
      </c>
      <c r="F334" s="81"/>
      <c r="G334" s="82"/>
      <c r="H334" s="20"/>
      <c r="I334" s="72"/>
      <c r="J334" s="32"/>
      <c r="K334" s="73"/>
    </row>
    <row r="335" spans="1:11" s="3" customFormat="1" ht="21" customHeight="1">
      <c r="A335" s="61" t="s">
        <v>207</v>
      </c>
      <c r="B335" s="19" t="s">
        <v>28</v>
      </c>
      <c r="C335" s="19" t="s">
        <v>7</v>
      </c>
      <c r="D335" s="19" t="s">
        <v>143</v>
      </c>
      <c r="E335" s="19" t="s">
        <v>82</v>
      </c>
      <c r="F335" s="14"/>
      <c r="G335" s="20">
        <f>13.008</f>
        <v>13.008</v>
      </c>
      <c r="H335" s="20"/>
      <c r="I335" s="72"/>
      <c r="J335" s="32"/>
      <c r="K335" s="73"/>
    </row>
    <row r="336" spans="1:11" s="3" customFormat="1" ht="19.5" customHeight="1">
      <c r="A336" s="61" t="s">
        <v>392</v>
      </c>
      <c r="B336" s="57" t="s">
        <v>28</v>
      </c>
      <c r="C336" s="57" t="s">
        <v>7</v>
      </c>
      <c r="D336" s="57" t="s">
        <v>143</v>
      </c>
      <c r="E336" s="19" t="s">
        <v>391</v>
      </c>
      <c r="F336" s="14"/>
      <c r="G336" s="20">
        <f>5155.4+967.901+435.321-2+139.226</f>
        <v>6695.847999999999</v>
      </c>
      <c r="H336" s="20">
        <v>5930</v>
      </c>
      <c r="I336" s="72">
        <v>5895.7</v>
      </c>
      <c r="J336" s="32"/>
      <c r="K336" s="73"/>
    </row>
    <row r="337" spans="1:11" s="3" customFormat="1" ht="31.5">
      <c r="A337" s="36" t="s">
        <v>71</v>
      </c>
      <c r="B337" s="19" t="s">
        <v>28</v>
      </c>
      <c r="C337" s="19" t="s">
        <v>7</v>
      </c>
      <c r="D337" s="19" t="s">
        <v>143</v>
      </c>
      <c r="E337" s="19" t="s">
        <v>73</v>
      </c>
      <c r="F337" s="14">
        <f>46925+710+200</f>
        <v>47835</v>
      </c>
      <c r="G337" s="20">
        <f>854.3-220+220-221.516-143.708-8.321-32.7-23.628-0.277-37.127-0.022-3-6.468-27.75</f>
        <v>349.783</v>
      </c>
      <c r="H337" s="20"/>
      <c r="I337" s="72"/>
      <c r="J337" s="32"/>
      <c r="K337" s="73"/>
    </row>
    <row r="338" spans="1:11" s="3" customFormat="1" ht="31.5">
      <c r="A338" s="35" t="s">
        <v>78</v>
      </c>
      <c r="B338" s="19" t="s">
        <v>28</v>
      </c>
      <c r="C338" s="19" t="s">
        <v>7</v>
      </c>
      <c r="D338" s="19" t="s">
        <v>143</v>
      </c>
      <c r="E338" s="38" t="s">
        <v>81</v>
      </c>
      <c r="F338" s="14"/>
      <c r="G338" s="20">
        <f>40.329+3.705</f>
        <v>44.034</v>
      </c>
      <c r="H338" s="20"/>
      <c r="I338" s="72"/>
      <c r="J338" s="32"/>
      <c r="K338" s="73"/>
    </row>
    <row r="339" spans="1:11" s="3" customFormat="1" ht="15.75">
      <c r="A339" s="61" t="s">
        <v>195</v>
      </c>
      <c r="B339" s="19" t="s">
        <v>28</v>
      </c>
      <c r="C339" s="19" t="s">
        <v>7</v>
      </c>
      <c r="D339" s="19" t="s">
        <v>143</v>
      </c>
      <c r="E339" s="38" t="s">
        <v>193</v>
      </c>
      <c r="F339" s="14"/>
      <c r="G339" s="20">
        <f>0.75+1.91+35.382</f>
        <v>38.042</v>
      </c>
      <c r="H339" s="20"/>
      <c r="I339" s="72"/>
      <c r="J339" s="32"/>
      <c r="K339" s="73"/>
    </row>
    <row r="340" spans="1:11" s="3" customFormat="1" ht="47.25">
      <c r="A340" s="61" t="s">
        <v>380</v>
      </c>
      <c r="B340" s="19" t="s">
        <v>28</v>
      </c>
      <c r="C340" s="19" t="s">
        <v>7</v>
      </c>
      <c r="D340" s="19" t="s">
        <v>379</v>
      </c>
      <c r="E340" s="38"/>
      <c r="F340" s="14"/>
      <c r="G340" s="20">
        <f>G341</f>
        <v>0</v>
      </c>
      <c r="H340" s="20">
        <f>H341</f>
        <v>3094.7</v>
      </c>
      <c r="I340" s="20">
        <f>I341</f>
        <v>0</v>
      </c>
      <c r="J340" s="32"/>
      <c r="K340" s="73"/>
    </row>
    <row r="341" spans="1:11" s="3" customFormat="1" ht="47.25">
      <c r="A341" s="101" t="s">
        <v>70</v>
      </c>
      <c r="B341" s="19" t="s">
        <v>28</v>
      </c>
      <c r="C341" s="19" t="s">
        <v>7</v>
      </c>
      <c r="D341" s="19" t="s">
        <v>379</v>
      </c>
      <c r="E341" s="38" t="s">
        <v>69</v>
      </c>
      <c r="F341" s="14"/>
      <c r="G341" s="20"/>
      <c r="H341" s="20">
        <v>3094.7</v>
      </c>
      <c r="I341" s="72"/>
      <c r="J341" s="32"/>
      <c r="K341" s="73"/>
    </row>
    <row r="342" spans="1:11" s="3" customFormat="1" ht="78.75">
      <c r="A342" s="35" t="s">
        <v>356</v>
      </c>
      <c r="B342" s="19" t="s">
        <v>28</v>
      </c>
      <c r="C342" s="19" t="s">
        <v>7</v>
      </c>
      <c r="D342" s="19" t="s">
        <v>355</v>
      </c>
      <c r="E342" s="38"/>
      <c r="F342" s="14"/>
      <c r="G342" s="20">
        <f>G343+G344</f>
        <v>7733.9</v>
      </c>
      <c r="H342" s="20">
        <f>H343+H344</f>
        <v>7733.9</v>
      </c>
      <c r="I342" s="20">
        <f>I343+I344</f>
        <v>0</v>
      </c>
      <c r="J342" s="32"/>
      <c r="K342" s="73"/>
    </row>
    <row r="343" spans="1:11" s="3" customFormat="1" ht="15.75">
      <c r="A343" s="35" t="s">
        <v>357</v>
      </c>
      <c r="B343" s="19" t="s">
        <v>28</v>
      </c>
      <c r="C343" s="19" t="s">
        <v>7</v>
      </c>
      <c r="D343" s="19" t="s">
        <v>355</v>
      </c>
      <c r="E343" s="38" t="s">
        <v>80</v>
      </c>
      <c r="F343" s="14"/>
      <c r="G343" s="20">
        <v>5940</v>
      </c>
      <c r="H343" s="20">
        <v>5940</v>
      </c>
      <c r="I343" s="72"/>
      <c r="J343" s="32"/>
      <c r="K343" s="73"/>
    </row>
    <row r="344" spans="1:11" s="3" customFormat="1" ht="63">
      <c r="A344" s="35" t="s">
        <v>358</v>
      </c>
      <c r="B344" s="19" t="s">
        <v>28</v>
      </c>
      <c r="C344" s="19" t="s">
        <v>7</v>
      </c>
      <c r="D344" s="19" t="s">
        <v>355</v>
      </c>
      <c r="E344" s="38" t="s">
        <v>136</v>
      </c>
      <c r="F344" s="14"/>
      <c r="G344" s="20">
        <v>1793.9</v>
      </c>
      <c r="H344" s="20">
        <v>1793.9</v>
      </c>
      <c r="I344" s="72"/>
      <c r="J344" s="32"/>
      <c r="K344" s="73"/>
    </row>
    <row r="345" spans="1:11" s="3" customFormat="1" ht="47.25">
      <c r="A345" s="35" t="s">
        <v>250</v>
      </c>
      <c r="B345" s="23" t="s">
        <v>28</v>
      </c>
      <c r="C345" s="23" t="s">
        <v>7</v>
      </c>
      <c r="D345" s="23" t="s">
        <v>389</v>
      </c>
      <c r="E345" s="23"/>
      <c r="F345" s="14">
        <f>F371</f>
        <v>0</v>
      </c>
      <c r="G345" s="15">
        <f>G346+G350+G354</f>
        <v>84394.40000000001</v>
      </c>
      <c r="H345" s="15">
        <f>H346+H350+H354</f>
        <v>73123.6</v>
      </c>
      <c r="I345" s="71">
        <f>I346+I350+I354</f>
        <v>77636.00000000001</v>
      </c>
      <c r="J345" s="32"/>
      <c r="K345" s="73"/>
    </row>
    <row r="346" spans="1:11" s="3" customFormat="1" ht="78.75">
      <c r="A346" s="35" t="s">
        <v>251</v>
      </c>
      <c r="B346" s="23" t="s">
        <v>28</v>
      </c>
      <c r="C346" s="23" t="s">
        <v>7</v>
      </c>
      <c r="D346" s="23" t="s">
        <v>222</v>
      </c>
      <c r="E346" s="23"/>
      <c r="F346" s="14"/>
      <c r="G346" s="15">
        <f>G347+G348+G349</f>
        <v>63127.100000000006</v>
      </c>
      <c r="H346" s="15">
        <f>H347+H348+H349</f>
        <v>64786.600000000006</v>
      </c>
      <c r="I346" s="71">
        <f>I347+I348+I349</f>
        <v>64786.600000000006</v>
      </c>
      <c r="J346" s="32"/>
      <c r="K346" s="73"/>
    </row>
    <row r="347" spans="1:11" s="3" customFormat="1" ht="15.75">
      <c r="A347" s="54" t="s">
        <v>172</v>
      </c>
      <c r="B347" s="23" t="s">
        <v>28</v>
      </c>
      <c r="C347" s="23" t="s">
        <v>7</v>
      </c>
      <c r="D347" s="23" t="s">
        <v>222</v>
      </c>
      <c r="E347" s="23" t="s">
        <v>80</v>
      </c>
      <c r="F347" s="14"/>
      <c r="G347" s="26">
        <f>49759.3-1274.6</f>
        <v>48484.700000000004</v>
      </c>
      <c r="H347" s="26">
        <v>49759.3</v>
      </c>
      <c r="I347" s="68">
        <v>49759.3</v>
      </c>
      <c r="J347" s="32"/>
      <c r="K347" s="73"/>
    </row>
    <row r="348" spans="1:11" s="3" customFormat="1" ht="47.25" hidden="1">
      <c r="A348" s="54" t="s">
        <v>77</v>
      </c>
      <c r="B348" s="23" t="s">
        <v>28</v>
      </c>
      <c r="C348" s="23" t="s">
        <v>7</v>
      </c>
      <c r="D348" s="23" t="s">
        <v>222</v>
      </c>
      <c r="E348" s="23" t="s">
        <v>61</v>
      </c>
      <c r="F348" s="14"/>
      <c r="G348" s="26"/>
      <c r="H348" s="15"/>
      <c r="I348" s="71"/>
      <c r="J348" s="32"/>
      <c r="K348" s="73"/>
    </row>
    <row r="349" spans="1:11" s="3" customFormat="1" ht="63">
      <c r="A349" s="97" t="s">
        <v>173</v>
      </c>
      <c r="B349" s="23" t="s">
        <v>28</v>
      </c>
      <c r="C349" s="23" t="s">
        <v>7</v>
      </c>
      <c r="D349" s="23" t="s">
        <v>222</v>
      </c>
      <c r="E349" s="23" t="s">
        <v>136</v>
      </c>
      <c r="F349" s="14"/>
      <c r="G349" s="26">
        <f>15027.3-384.9</f>
        <v>14642.4</v>
      </c>
      <c r="H349" s="15">
        <v>15027.3</v>
      </c>
      <c r="I349" s="71">
        <v>15027.3</v>
      </c>
      <c r="J349" s="32"/>
      <c r="K349" s="73"/>
    </row>
    <row r="350" spans="1:11" s="3" customFormat="1" ht="78.75">
      <c r="A350" s="61" t="s">
        <v>252</v>
      </c>
      <c r="B350" s="23" t="s">
        <v>28</v>
      </c>
      <c r="C350" s="23" t="s">
        <v>7</v>
      </c>
      <c r="D350" s="23" t="s">
        <v>223</v>
      </c>
      <c r="E350" s="23"/>
      <c r="F350" s="14"/>
      <c r="G350" s="83">
        <f>G351+G353</f>
        <v>17715.5</v>
      </c>
      <c r="H350" s="83">
        <f>H351+H353</f>
        <v>7476.900000000001</v>
      </c>
      <c r="I350" s="83">
        <f>I351+I353</f>
        <v>11989.3</v>
      </c>
      <c r="J350" s="32"/>
      <c r="K350" s="73"/>
    </row>
    <row r="351" spans="1:11" s="3" customFormat="1" ht="15.75">
      <c r="A351" s="54" t="s">
        <v>172</v>
      </c>
      <c r="B351" s="23" t="s">
        <v>28</v>
      </c>
      <c r="C351" s="23" t="s">
        <v>7</v>
      </c>
      <c r="D351" s="23" t="s">
        <v>223</v>
      </c>
      <c r="E351" s="23" t="s">
        <v>80</v>
      </c>
      <c r="F351" s="14"/>
      <c r="G351" s="26">
        <f>14399.1-792.8</f>
        <v>13606.300000000001</v>
      </c>
      <c r="H351" s="15">
        <v>5742.6</v>
      </c>
      <c r="I351" s="71">
        <v>9208.3</v>
      </c>
      <c r="J351" s="32"/>
      <c r="K351" s="73"/>
    </row>
    <row r="352" spans="1:11" s="3" customFormat="1" ht="47.25">
      <c r="A352" s="54" t="s">
        <v>77</v>
      </c>
      <c r="B352" s="23" t="s">
        <v>28</v>
      </c>
      <c r="C352" s="23" t="s">
        <v>7</v>
      </c>
      <c r="D352" s="23" t="s">
        <v>223</v>
      </c>
      <c r="E352" s="23" t="s">
        <v>61</v>
      </c>
      <c r="F352" s="14"/>
      <c r="G352" s="26"/>
      <c r="H352" s="15"/>
      <c r="I352" s="71"/>
      <c r="J352" s="32"/>
      <c r="K352" s="73"/>
    </row>
    <row r="353" spans="1:11" s="3" customFormat="1" ht="63">
      <c r="A353" s="97" t="s">
        <v>173</v>
      </c>
      <c r="B353" s="23" t="s">
        <v>28</v>
      </c>
      <c r="C353" s="23" t="s">
        <v>7</v>
      </c>
      <c r="D353" s="23" t="s">
        <v>223</v>
      </c>
      <c r="E353" s="23" t="s">
        <v>136</v>
      </c>
      <c r="F353" s="14"/>
      <c r="G353" s="26">
        <f>4348.6-239.4</f>
        <v>4109.200000000001</v>
      </c>
      <c r="H353" s="15">
        <v>1734.3</v>
      </c>
      <c r="I353" s="71">
        <v>2781</v>
      </c>
      <c r="J353" s="32"/>
      <c r="K353" s="73"/>
    </row>
    <row r="354" spans="1:11" s="3" customFormat="1" ht="63.75" customHeight="1">
      <c r="A354" s="61" t="s">
        <v>253</v>
      </c>
      <c r="B354" s="23" t="s">
        <v>28</v>
      </c>
      <c r="C354" s="23" t="s">
        <v>7</v>
      </c>
      <c r="D354" s="23" t="s">
        <v>224</v>
      </c>
      <c r="E354" s="23"/>
      <c r="F354" s="14"/>
      <c r="G354" s="26">
        <f>G355</f>
        <v>3551.8</v>
      </c>
      <c r="H354" s="26">
        <f>H355</f>
        <v>860.1</v>
      </c>
      <c r="I354" s="68">
        <f>I355</f>
        <v>860.1</v>
      </c>
      <c r="J354" s="32"/>
      <c r="K354" s="73"/>
    </row>
    <row r="355" spans="1:11" s="3" customFormat="1" ht="47.25">
      <c r="A355" s="36" t="s">
        <v>70</v>
      </c>
      <c r="B355" s="23" t="s">
        <v>28</v>
      </c>
      <c r="C355" s="23" t="s">
        <v>7</v>
      </c>
      <c r="D355" s="23" t="s">
        <v>224</v>
      </c>
      <c r="E355" s="23" t="s">
        <v>69</v>
      </c>
      <c r="F355" s="14"/>
      <c r="G355" s="26">
        <f>860.1+1012.14+1679.56</f>
        <v>3551.8</v>
      </c>
      <c r="H355" s="26">
        <v>860.1</v>
      </c>
      <c r="I355" s="68">
        <v>860.1</v>
      </c>
      <c r="J355" s="32"/>
      <c r="K355" s="73"/>
    </row>
    <row r="356" spans="1:11" s="3" customFormat="1" ht="65.25" customHeight="1">
      <c r="A356" s="54" t="s">
        <v>254</v>
      </c>
      <c r="B356" s="23" t="s">
        <v>28</v>
      </c>
      <c r="C356" s="23" t="s">
        <v>7</v>
      </c>
      <c r="D356" s="23" t="s">
        <v>285</v>
      </c>
      <c r="E356" s="23"/>
      <c r="F356" s="14"/>
      <c r="G356" s="26">
        <f>G357</f>
        <v>871</v>
      </c>
      <c r="H356" s="26">
        <f>H357</f>
        <v>0</v>
      </c>
      <c r="I356" s="68">
        <f>I357</f>
        <v>0</v>
      </c>
      <c r="J356" s="32"/>
      <c r="K356" s="73"/>
    </row>
    <row r="357" spans="1:11" s="3" customFormat="1" ht="47.25">
      <c r="A357" s="36" t="s">
        <v>70</v>
      </c>
      <c r="B357" s="23" t="s">
        <v>28</v>
      </c>
      <c r="C357" s="23" t="s">
        <v>7</v>
      </c>
      <c r="D357" s="23" t="s">
        <v>285</v>
      </c>
      <c r="E357" s="23" t="s">
        <v>69</v>
      </c>
      <c r="F357" s="14"/>
      <c r="G357" s="26">
        <v>871</v>
      </c>
      <c r="H357" s="26"/>
      <c r="I357" s="68"/>
      <c r="J357" s="32"/>
      <c r="K357" s="73"/>
    </row>
    <row r="358" spans="1:11" s="3" customFormat="1" ht="78.75">
      <c r="A358" s="63" t="s">
        <v>332</v>
      </c>
      <c r="B358" s="19" t="s">
        <v>28</v>
      </c>
      <c r="C358" s="19" t="s">
        <v>7</v>
      </c>
      <c r="D358" s="19" t="s">
        <v>324</v>
      </c>
      <c r="E358" s="19"/>
      <c r="F358" s="14"/>
      <c r="G358" s="15">
        <f>G359</f>
        <v>1000</v>
      </c>
      <c r="H358" s="15"/>
      <c r="I358" s="71"/>
      <c r="J358" s="32"/>
      <c r="K358" s="73"/>
    </row>
    <row r="359" spans="1:11" s="3" customFormat="1" ht="47.25">
      <c r="A359" s="63" t="s">
        <v>70</v>
      </c>
      <c r="B359" s="19" t="s">
        <v>28</v>
      </c>
      <c r="C359" s="19" t="s">
        <v>7</v>
      </c>
      <c r="D359" s="19" t="s">
        <v>324</v>
      </c>
      <c r="E359" s="19" t="s">
        <v>69</v>
      </c>
      <c r="F359" s="14"/>
      <c r="G359" s="15">
        <v>1000</v>
      </c>
      <c r="H359" s="15"/>
      <c r="I359" s="71"/>
      <c r="J359" s="32"/>
      <c r="K359" s="73"/>
    </row>
    <row r="360" spans="1:11" s="3" customFormat="1" ht="63">
      <c r="A360" s="63" t="s">
        <v>331</v>
      </c>
      <c r="B360" s="19" t="s">
        <v>28</v>
      </c>
      <c r="C360" s="19" t="s">
        <v>7</v>
      </c>
      <c r="D360" s="19" t="s">
        <v>330</v>
      </c>
      <c r="E360" s="19"/>
      <c r="F360" s="14"/>
      <c r="G360" s="15">
        <f>G361</f>
        <v>2500</v>
      </c>
      <c r="H360" s="15">
        <f>H361</f>
        <v>5000</v>
      </c>
      <c r="I360" s="15">
        <f>I361</f>
        <v>5000</v>
      </c>
      <c r="J360" s="32"/>
      <c r="K360" s="73"/>
    </row>
    <row r="361" spans="1:11" s="3" customFormat="1" ht="47.25">
      <c r="A361" s="63" t="s">
        <v>70</v>
      </c>
      <c r="B361" s="19" t="s">
        <v>28</v>
      </c>
      <c r="C361" s="19" t="s">
        <v>7</v>
      </c>
      <c r="D361" s="19" t="s">
        <v>330</v>
      </c>
      <c r="E361" s="19" t="s">
        <v>69</v>
      </c>
      <c r="F361" s="14"/>
      <c r="G361" s="15">
        <f>5000-2500</f>
        <v>2500</v>
      </c>
      <c r="H361" s="15">
        <v>5000</v>
      </c>
      <c r="I361" s="71">
        <v>5000</v>
      </c>
      <c r="J361" s="32"/>
      <c r="K361" s="73"/>
    </row>
    <row r="362" spans="1:11" s="3" customFormat="1" ht="47.25">
      <c r="A362" s="63" t="s">
        <v>382</v>
      </c>
      <c r="B362" s="19" t="s">
        <v>28</v>
      </c>
      <c r="C362" s="19" t="s">
        <v>7</v>
      </c>
      <c r="D362" s="19" t="s">
        <v>381</v>
      </c>
      <c r="E362" s="19"/>
      <c r="F362" s="14"/>
      <c r="G362" s="15">
        <f>G363</f>
        <v>0</v>
      </c>
      <c r="H362" s="15">
        <f>H363</f>
        <v>0</v>
      </c>
      <c r="I362" s="15">
        <f>I363</f>
        <v>5400</v>
      </c>
      <c r="J362" s="32"/>
      <c r="K362" s="73"/>
    </row>
    <row r="363" spans="1:11" s="3" customFormat="1" ht="47.25">
      <c r="A363" s="63" t="s">
        <v>70</v>
      </c>
      <c r="B363" s="19" t="s">
        <v>28</v>
      </c>
      <c r="C363" s="19" t="s">
        <v>7</v>
      </c>
      <c r="D363" s="19" t="s">
        <v>381</v>
      </c>
      <c r="E363" s="19" t="s">
        <v>69</v>
      </c>
      <c r="F363" s="14"/>
      <c r="G363" s="15"/>
      <c r="H363" s="15"/>
      <c r="I363" s="71">
        <v>5400</v>
      </c>
      <c r="J363" s="32"/>
      <c r="K363" s="73"/>
    </row>
    <row r="364" spans="1:11" s="3" customFormat="1" ht="63">
      <c r="A364" s="63" t="s">
        <v>329</v>
      </c>
      <c r="B364" s="19" t="s">
        <v>28</v>
      </c>
      <c r="C364" s="19" t="s">
        <v>7</v>
      </c>
      <c r="D364" s="19" t="s">
        <v>325</v>
      </c>
      <c r="E364" s="19"/>
      <c r="F364" s="14"/>
      <c r="G364" s="15">
        <f>G365</f>
        <v>1000</v>
      </c>
      <c r="H364" s="15">
        <f>H365</f>
        <v>1000</v>
      </c>
      <c r="I364" s="15">
        <f>I365</f>
        <v>1000</v>
      </c>
      <c r="J364" s="32"/>
      <c r="K364" s="73"/>
    </row>
    <row r="365" spans="1:11" s="3" customFormat="1" ht="47.25">
      <c r="A365" s="63" t="s">
        <v>70</v>
      </c>
      <c r="B365" s="19" t="s">
        <v>28</v>
      </c>
      <c r="C365" s="19" t="s">
        <v>7</v>
      </c>
      <c r="D365" s="19" t="s">
        <v>325</v>
      </c>
      <c r="E365" s="19" t="s">
        <v>69</v>
      </c>
      <c r="F365" s="14"/>
      <c r="G365" s="15">
        <v>1000</v>
      </c>
      <c r="H365" s="15">
        <v>1000</v>
      </c>
      <c r="I365" s="71">
        <v>1000</v>
      </c>
      <c r="J365" s="32"/>
      <c r="K365" s="73"/>
    </row>
    <row r="366" spans="1:11" s="3" customFormat="1" ht="63">
      <c r="A366" s="63" t="s">
        <v>384</v>
      </c>
      <c r="B366" s="19" t="s">
        <v>28</v>
      </c>
      <c r="C366" s="19" t="s">
        <v>7</v>
      </c>
      <c r="D366" s="19" t="s">
        <v>383</v>
      </c>
      <c r="E366" s="19"/>
      <c r="F366" s="14"/>
      <c r="G366" s="15">
        <f>G367</f>
        <v>0</v>
      </c>
      <c r="H366" s="15">
        <f>H367</f>
        <v>0</v>
      </c>
      <c r="I366" s="15">
        <f>I367</f>
        <v>0</v>
      </c>
      <c r="J366" s="32"/>
      <c r="K366" s="73"/>
    </row>
    <row r="367" spans="1:11" s="3" customFormat="1" ht="47.25">
      <c r="A367" s="63" t="s">
        <v>70</v>
      </c>
      <c r="B367" s="19" t="s">
        <v>28</v>
      </c>
      <c r="C367" s="19" t="s">
        <v>7</v>
      </c>
      <c r="D367" s="19" t="s">
        <v>383</v>
      </c>
      <c r="E367" s="19" t="s">
        <v>69</v>
      </c>
      <c r="F367" s="14"/>
      <c r="G367" s="15">
        <f>585.4-585.4</f>
        <v>0</v>
      </c>
      <c r="H367" s="15"/>
      <c r="I367" s="71"/>
      <c r="J367" s="32"/>
      <c r="K367" s="73"/>
    </row>
    <row r="368" spans="1:11" s="3" customFormat="1" ht="85.5" customHeight="1">
      <c r="A368" s="63" t="s">
        <v>360</v>
      </c>
      <c r="B368" s="19" t="s">
        <v>28</v>
      </c>
      <c r="C368" s="19" t="s">
        <v>7</v>
      </c>
      <c r="D368" s="19" t="s">
        <v>359</v>
      </c>
      <c r="E368" s="19"/>
      <c r="F368" s="14"/>
      <c r="G368" s="15">
        <f>G369</f>
        <v>0</v>
      </c>
      <c r="H368" s="15">
        <f>H369</f>
        <v>0</v>
      </c>
      <c r="I368" s="15">
        <f>I369</f>
        <v>0</v>
      </c>
      <c r="J368" s="32"/>
      <c r="K368" s="73"/>
    </row>
    <row r="369" spans="1:11" s="3" customFormat="1" ht="47.25">
      <c r="A369" s="63" t="s">
        <v>205</v>
      </c>
      <c r="B369" s="19" t="s">
        <v>28</v>
      </c>
      <c r="C369" s="19" t="s">
        <v>7</v>
      </c>
      <c r="D369" s="19" t="s">
        <v>359</v>
      </c>
      <c r="E369" s="19" t="s">
        <v>206</v>
      </c>
      <c r="F369" s="14"/>
      <c r="G369" s="15">
        <f>2242.115+400-2642.115</f>
        <v>0</v>
      </c>
      <c r="H369" s="15"/>
      <c r="I369" s="71"/>
      <c r="J369" s="32"/>
      <c r="K369" s="73"/>
    </row>
    <row r="370" spans="1:11" s="3" customFormat="1" ht="31.5">
      <c r="A370" s="97" t="s">
        <v>72</v>
      </c>
      <c r="B370" s="19" t="s">
        <v>28</v>
      </c>
      <c r="C370" s="19" t="s">
        <v>7</v>
      </c>
      <c r="D370" s="19" t="s">
        <v>109</v>
      </c>
      <c r="E370" s="38"/>
      <c r="F370" s="14"/>
      <c r="G370" s="88">
        <f>G375+G373+G371+G378</f>
        <v>4772.5</v>
      </c>
      <c r="H370" s="15">
        <f>H375+H373+H371+H378</f>
        <v>3215.7000000000003</v>
      </c>
      <c r="I370" s="71">
        <f>I375+I373+I371+I378</f>
        <v>3218.5</v>
      </c>
      <c r="J370" s="32"/>
      <c r="K370" s="73"/>
    </row>
    <row r="371" spans="1:11" s="3" customFormat="1" ht="63" customHeight="1">
      <c r="A371" s="35" t="s">
        <v>255</v>
      </c>
      <c r="B371" s="23" t="s">
        <v>28</v>
      </c>
      <c r="C371" s="23" t="s">
        <v>7</v>
      </c>
      <c r="D371" s="23" t="s">
        <v>146</v>
      </c>
      <c r="E371" s="23"/>
      <c r="F371" s="14"/>
      <c r="G371" s="15">
        <f>G372</f>
        <v>2974.1</v>
      </c>
      <c r="H371" s="15">
        <f>H372</f>
        <v>3146.4</v>
      </c>
      <c r="I371" s="71">
        <f>I372</f>
        <v>3146.4</v>
      </c>
      <c r="J371" s="32"/>
      <c r="K371" s="73"/>
    </row>
    <row r="372" spans="1:11" s="3" customFormat="1" ht="47.25">
      <c r="A372" s="63" t="s">
        <v>70</v>
      </c>
      <c r="B372" s="23" t="s">
        <v>28</v>
      </c>
      <c r="C372" s="23" t="s">
        <v>7</v>
      </c>
      <c r="D372" s="23" t="s">
        <v>146</v>
      </c>
      <c r="E372" s="23" t="s">
        <v>69</v>
      </c>
      <c r="F372" s="14"/>
      <c r="G372" s="15">
        <v>2974.1</v>
      </c>
      <c r="H372" s="15">
        <v>3146.4</v>
      </c>
      <c r="I372" s="71">
        <v>3146.4</v>
      </c>
      <c r="J372" s="32"/>
      <c r="K372" s="73"/>
    </row>
    <row r="373" spans="1:11" s="3" customFormat="1" ht="99" customHeight="1">
      <c r="A373" s="45" t="s">
        <v>176</v>
      </c>
      <c r="B373" s="19" t="s">
        <v>28</v>
      </c>
      <c r="C373" s="19" t="s">
        <v>7</v>
      </c>
      <c r="D373" s="19" t="s">
        <v>147</v>
      </c>
      <c r="E373" s="19"/>
      <c r="F373" s="14"/>
      <c r="G373" s="15">
        <f>G374</f>
        <v>1720</v>
      </c>
      <c r="H373" s="15">
        <f>H374</f>
        <v>0</v>
      </c>
      <c r="I373" s="71">
        <f>I374</f>
        <v>0</v>
      </c>
      <c r="J373" s="32"/>
      <c r="K373" s="73"/>
    </row>
    <row r="374" spans="1:11" s="3" customFormat="1" ht="15.75">
      <c r="A374" s="45" t="s">
        <v>56</v>
      </c>
      <c r="B374" s="19" t="s">
        <v>28</v>
      </c>
      <c r="C374" s="19" t="s">
        <v>7</v>
      </c>
      <c r="D374" s="19" t="s">
        <v>147</v>
      </c>
      <c r="E374" s="19" t="s">
        <v>87</v>
      </c>
      <c r="F374" s="14"/>
      <c r="G374" s="15">
        <v>1720</v>
      </c>
      <c r="H374" s="15"/>
      <c r="I374" s="71"/>
      <c r="J374" s="32"/>
      <c r="K374" s="73"/>
    </row>
    <row r="375" spans="1:11" s="3" customFormat="1" ht="104.25" customHeight="1">
      <c r="A375" s="35" t="s">
        <v>186</v>
      </c>
      <c r="B375" s="19" t="s">
        <v>28</v>
      </c>
      <c r="C375" s="19" t="s">
        <v>7</v>
      </c>
      <c r="D375" s="19" t="s">
        <v>185</v>
      </c>
      <c r="E375" s="19"/>
      <c r="F375" s="14"/>
      <c r="G375" s="15">
        <f>G376+G377</f>
        <v>78.4</v>
      </c>
      <c r="H375" s="15">
        <f>H376+H377</f>
        <v>69.3</v>
      </c>
      <c r="I375" s="71">
        <f>I376+I377</f>
        <v>72.1</v>
      </c>
      <c r="J375" s="32"/>
      <c r="K375" s="73"/>
    </row>
    <row r="376" spans="1:11" s="3" customFormat="1" ht="15.75">
      <c r="A376" s="35" t="s">
        <v>172</v>
      </c>
      <c r="B376" s="19" t="s">
        <v>28</v>
      </c>
      <c r="C376" s="19" t="s">
        <v>7</v>
      </c>
      <c r="D376" s="19" t="s">
        <v>185</v>
      </c>
      <c r="E376" s="19" t="s">
        <v>80</v>
      </c>
      <c r="F376" s="14"/>
      <c r="G376" s="15">
        <f>78.4-18.19</f>
        <v>60.21000000000001</v>
      </c>
      <c r="H376" s="15">
        <v>69.3</v>
      </c>
      <c r="I376" s="71">
        <v>72.1</v>
      </c>
      <c r="J376" s="32"/>
      <c r="K376" s="73"/>
    </row>
    <row r="377" spans="1:11" s="3" customFormat="1" ht="63">
      <c r="A377" s="97" t="s">
        <v>173</v>
      </c>
      <c r="B377" s="19" t="s">
        <v>28</v>
      </c>
      <c r="C377" s="19" t="s">
        <v>7</v>
      </c>
      <c r="D377" s="19" t="s">
        <v>185</v>
      </c>
      <c r="E377" s="19" t="s">
        <v>136</v>
      </c>
      <c r="F377" s="14"/>
      <c r="G377" s="15">
        <f>18.19</f>
        <v>18.19</v>
      </c>
      <c r="H377" s="15"/>
      <c r="I377" s="71"/>
      <c r="J377" s="32"/>
      <c r="K377" s="73"/>
    </row>
    <row r="378" spans="1:11" s="3" customFormat="1" ht="63">
      <c r="A378" s="61" t="s">
        <v>315</v>
      </c>
      <c r="B378" s="19" t="s">
        <v>28</v>
      </c>
      <c r="C378" s="19" t="s">
        <v>7</v>
      </c>
      <c r="D378" s="19" t="s">
        <v>316</v>
      </c>
      <c r="E378" s="39"/>
      <c r="F378" s="14"/>
      <c r="G378" s="15">
        <f>G379</f>
        <v>0</v>
      </c>
      <c r="H378" s="15">
        <f>H379</f>
        <v>0</v>
      </c>
      <c r="I378" s="71">
        <f>I379</f>
        <v>0</v>
      </c>
      <c r="J378" s="32"/>
      <c r="K378" s="73"/>
    </row>
    <row r="379" spans="1:11" s="3" customFormat="1" ht="47.25">
      <c r="A379" s="54" t="s">
        <v>70</v>
      </c>
      <c r="B379" s="19" t="s">
        <v>28</v>
      </c>
      <c r="C379" s="19" t="s">
        <v>7</v>
      </c>
      <c r="D379" s="19" t="s">
        <v>316</v>
      </c>
      <c r="E379" s="39" t="s">
        <v>69</v>
      </c>
      <c r="F379" s="14"/>
      <c r="G379" s="15">
        <v>0</v>
      </c>
      <c r="H379" s="15"/>
      <c r="I379" s="71"/>
      <c r="J379" s="32"/>
      <c r="K379" s="73"/>
    </row>
    <row r="380" spans="1:11" s="40" customFormat="1" ht="15.75">
      <c r="A380" s="102" t="s">
        <v>200</v>
      </c>
      <c r="B380" s="30" t="s">
        <v>28</v>
      </c>
      <c r="C380" s="30" t="s">
        <v>9</v>
      </c>
      <c r="D380" s="30"/>
      <c r="E380" s="30"/>
      <c r="F380" s="28"/>
      <c r="G380" s="29">
        <f>G392+G406+G396+G401+G423+G381</f>
        <v>10085.668</v>
      </c>
      <c r="H380" s="29">
        <f>H392+H406+H396+H401+H423+H381</f>
        <v>9814.900000000001</v>
      </c>
      <c r="I380" s="29">
        <f>I392+I406+I396+I401+I423+I381</f>
        <v>10020.7</v>
      </c>
      <c r="J380" s="74"/>
      <c r="K380" s="73"/>
    </row>
    <row r="381" spans="1:11" s="40" customFormat="1" ht="78.75">
      <c r="A381" s="43" t="s">
        <v>363</v>
      </c>
      <c r="B381" s="23" t="s">
        <v>28</v>
      </c>
      <c r="C381" s="23" t="s">
        <v>9</v>
      </c>
      <c r="D381" s="23" t="s">
        <v>364</v>
      </c>
      <c r="E381" s="9"/>
      <c r="F381" s="28"/>
      <c r="G381" s="15">
        <f>G382+G384+G390</f>
        <v>20.6</v>
      </c>
      <c r="H381" s="26">
        <f>H382+H384+H386+H388+H390</f>
        <v>30.2</v>
      </c>
      <c r="I381" s="26">
        <f>I382+I384+I386+I388+I390</f>
        <v>0</v>
      </c>
      <c r="J381" s="74"/>
      <c r="K381" s="73"/>
    </row>
    <row r="382" spans="1:11" s="40" customFormat="1" ht="47.25">
      <c r="A382" s="61" t="s">
        <v>365</v>
      </c>
      <c r="B382" s="19" t="s">
        <v>28</v>
      </c>
      <c r="C382" s="19" t="s">
        <v>9</v>
      </c>
      <c r="D382" s="19" t="s">
        <v>366</v>
      </c>
      <c r="E382" s="19"/>
      <c r="F382" s="28"/>
      <c r="G382" s="15">
        <f aca="true" t="shared" si="17" ref="G382:G390">G383</f>
        <v>0</v>
      </c>
      <c r="H382" s="26">
        <f>H383</f>
        <v>11</v>
      </c>
      <c r="I382" s="26">
        <f>I383</f>
        <v>0</v>
      </c>
      <c r="J382" s="74"/>
      <c r="K382" s="73"/>
    </row>
    <row r="383" spans="1:11" s="40" customFormat="1" ht="47.25">
      <c r="A383" s="61" t="s">
        <v>70</v>
      </c>
      <c r="B383" s="19" t="s">
        <v>28</v>
      </c>
      <c r="C383" s="19" t="s">
        <v>9</v>
      </c>
      <c r="D383" s="19" t="s">
        <v>366</v>
      </c>
      <c r="E383" s="19" t="s">
        <v>69</v>
      </c>
      <c r="F383" s="28"/>
      <c r="G383" s="15"/>
      <c r="H383" s="26">
        <v>11</v>
      </c>
      <c r="I383" s="68"/>
      <c r="J383" s="74"/>
      <c r="K383" s="73"/>
    </row>
    <row r="384" spans="1:11" s="40" customFormat="1" ht="47.25">
      <c r="A384" s="61" t="s">
        <v>367</v>
      </c>
      <c r="B384" s="19" t="s">
        <v>28</v>
      </c>
      <c r="C384" s="19" t="s">
        <v>9</v>
      </c>
      <c r="D384" s="19" t="s">
        <v>368</v>
      </c>
      <c r="E384" s="19"/>
      <c r="F384" s="28"/>
      <c r="G384" s="15">
        <f t="shared" si="17"/>
        <v>17.6</v>
      </c>
      <c r="H384" s="26">
        <f>H385</f>
        <v>5</v>
      </c>
      <c r="I384" s="26">
        <f>I385</f>
        <v>0</v>
      </c>
      <c r="J384" s="74"/>
      <c r="K384" s="73"/>
    </row>
    <row r="385" spans="1:11" s="40" customFormat="1" ht="47.25">
      <c r="A385" s="61" t="s">
        <v>70</v>
      </c>
      <c r="B385" s="19" t="s">
        <v>28</v>
      </c>
      <c r="C385" s="19" t="s">
        <v>9</v>
      </c>
      <c r="D385" s="19" t="s">
        <v>368</v>
      </c>
      <c r="E385" s="19" t="s">
        <v>69</v>
      </c>
      <c r="F385" s="28"/>
      <c r="G385" s="15">
        <v>17.6</v>
      </c>
      <c r="H385" s="26">
        <v>5</v>
      </c>
      <c r="I385" s="68"/>
      <c r="J385" s="74"/>
      <c r="K385" s="73"/>
    </row>
    <row r="386" spans="1:11" s="40" customFormat="1" ht="47.25" hidden="1">
      <c r="A386" s="61" t="s">
        <v>369</v>
      </c>
      <c r="B386" s="19" t="s">
        <v>28</v>
      </c>
      <c r="C386" s="19" t="s">
        <v>9</v>
      </c>
      <c r="D386" s="19" t="s">
        <v>370</v>
      </c>
      <c r="E386" s="19"/>
      <c r="F386" s="28"/>
      <c r="G386" s="15">
        <f t="shared" si="17"/>
        <v>0</v>
      </c>
      <c r="H386" s="26">
        <f>H387</f>
        <v>0</v>
      </c>
      <c r="I386" s="26">
        <f>I387</f>
        <v>0</v>
      </c>
      <c r="J386" s="74"/>
      <c r="K386" s="73"/>
    </row>
    <row r="387" spans="1:11" s="40" customFormat="1" ht="47.25" hidden="1">
      <c r="A387" s="61" t="s">
        <v>70</v>
      </c>
      <c r="B387" s="19" t="s">
        <v>28</v>
      </c>
      <c r="C387" s="19" t="s">
        <v>9</v>
      </c>
      <c r="D387" s="19" t="s">
        <v>370</v>
      </c>
      <c r="E387" s="19" t="s">
        <v>69</v>
      </c>
      <c r="F387" s="28"/>
      <c r="G387" s="15">
        <f t="shared" si="17"/>
        <v>0</v>
      </c>
      <c r="H387" s="26"/>
      <c r="I387" s="68"/>
      <c r="J387" s="74"/>
      <c r="K387" s="73"/>
    </row>
    <row r="388" spans="1:11" s="40" customFormat="1" ht="47.25">
      <c r="A388" s="61" t="s">
        <v>371</v>
      </c>
      <c r="B388" s="19" t="s">
        <v>28</v>
      </c>
      <c r="C388" s="19" t="s">
        <v>9</v>
      </c>
      <c r="D388" s="19" t="s">
        <v>372</v>
      </c>
      <c r="E388" s="19"/>
      <c r="F388" s="28"/>
      <c r="G388" s="15">
        <f t="shared" si="17"/>
        <v>0</v>
      </c>
      <c r="H388" s="26">
        <f>H389</f>
        <v>7</v>
      </c>
      <c r="I388" s="26">
        <f>I389</f>
        <v>0</v>
      </c>
      <c r="J388" s="74"/>
      <c r="K388" s="73"/>
    </row>
    <row r="389" spans="1:11" s="40" customFormat="1" ht="47.25">
      <c r="A389" s="61" t="s">
        <v>70</v>
      </c>
      <c r="B389" s="19" t="s">
        <v>28</v>
      </c>
      <c r="C389" s="19" t="s">
        <v>9</v>
      </c>
      <c r="D389" s="19" t="s">
        <v>372</v>
      </c>
      <c r="E389" s="19" t="s">
        <v>69</v>
      </c>
      <c r="F389" s="28"/>
      <c r="G389" s="15"/>
      <c r="H389" s="26">
        <v>7</v>
      </c>
      <c r="I389" s="68"/>
      <c r="J389" s="74"/>
      <c r="K389" s="73"/>
    </row>
    <row r="390" spans="1:11" s="40" customFormat="1" ht="31.5">
      <c r="A390" s="61" t="s">
        <v>373</v>
      </c>
      <c r="B390" s="19" t="s">
        <v>28</v>
      </c>
      <c r="C390" s="19" t="s">
        <v>9</v>
      </c>
      <c r="D390" s="19" t="s">
        <v>374</v>
      </c>
      <c r="E390" s="19"/>
      <c r="F390" s="28"/>
      <c r="G390" s="15">
        <f t="shared" si="17"/>
        <v>3</v>
      </c>
      <c r="H390" s="26">
        <f>H391</f>
        <v>7.2</v>
      </c>
      <c r="I390" s="26">
        <f>I391</f>
        <v>0</v>
      </c>
      <c r="J390" s="74"/>
      <c r="K390" s="73"/>
    </row>
    <row r="391" spans="1:11" s="40" customFormat="1" ht="47.25">
      <c r="A391" s="61" t="s">
        <v>70</v>
      </c>
      <c r="B391" s="19" t="s">
        <v>28</v>
      </c>
      <c r="C391" s="19" t="s">
        <v>9</v>
      </c>
      <c r="D391" s="19" t="s">
        <v>374</v>
      </c>
      <c r="E391" s="19" t="s">
        <v>69</v>
      </c>
      <c r="F391" s="28"/>
      <c r="G391" s="15">
        <v>3</v>
      </c>
      <c r="H391" s="26">
        <v>7.2</v>
      </c>
      <c r="I391" s="68"/>
      <c r="J391" s="74"/>
      <c r="K391" s="73"/>
    </row>
    <row r="392" spans="1:11" s="37" customFormat="1" ht="126">
      <c r="A392" s="53" t="s">
        <v>274</v>
      </c>
      <c r="B392" s="19" t="s">
        <v>28</v>
      </c>
      <c r="C392" s="19" t="s">
        <v>9</v>
      </c>
      <c r="D392" s="19" t="s">
        <v>140</v>
      </c>
      <c r="E392" s="19"/>
      <c r="F392" s="11"/>
      <c r="G392" s="26">
        <f>G393</f>
        <v>3559.109</v>
      </c>
      <c r="H392" s="26">
        <f>H393</f>
        <v>3000</v>
      </c>
      <c r="I392" s="68">
        <f>I393</f>
        <v>3100</v>
      </c>
      <c r="J392" s="75"/>
      <c r="K392" s="73"/>
    </row>
    <row r="393" spans="1:11" s="37" customFormat="1" ht="31.5">
      <c r="A393" s="35" t="s">
        <v>97</v>
      </c>
      <c r="B393" s="19" t="s">
        <v>28</v>
      </c>
      <c r="C393" s="19" t="s">
        <v>9</v>
      </c>
      <c r="D393" s="19" t="s">
        <v>141</v>
      </c>
      <c r="E393" s="19"/>
      <c r="F393" s="11"/>
      <c r="G393" s="26">
        <f>G394+G395</f>
        <v>3559.109</v>
      </c>
      <c r="H393" s="26">
        <f>H394+H395</f>
        <v>3000</v>
      </c>
      <c r="I393" s="68">
        <f>I394+I395</f>
        <v>3100</v>
      </c>
      <c r="J393" s="75"/>
      <c r="K393" s="73"/>
    </row>
    <row r="394" spans="1:11" s="37" customFormat="1" ht="81" customHeight="1">
      <c r="A394" s="45" t="s">
        <v>79</v>
      </c>
      <c r="B394" s="19" t="s">
        <v>28</v>
      </c>
      <c r="C394" s="19" t="s">
        <v>9</v>
      </c>
      <c r="D394" s="19" t="s">
        <v>141</v>
      </c>
      <c r="E394" s="19" t="s">
        <v>58</v>
      </c>
      <c r="F394" s="11"/>
      <c r="G394" s="26">
        <f>3013.9-8.166+238.7</f>
        <v>3244.4339999999997</v>
      </c>
      <c r="H394" s="26">
        <v>3000</v>
      </c>
      <c r="I394" s="68">
        <v>3100</v>
      </c>
      <c r="J394" s="75"/>
      <c r="K394" s="73"/>
    </row>
    <row r="395" spans="1:11" s="37" customFormat="1" ht="31.5">
      <c r="A395" s="58" t="s">
        <v>60</v>
      </c>
      <c r="B395" s="19" t="s">
        <v>28</v>
      </c>
      <c r="C395" s="19" t="s">
        <v>9</v>
      </c>
      <c r="D395" s="19" t="s">
        <v>141</v>
      </c>
      <c r="E395" s="19" t="s">
        <v>59</v>
      </c>
      <c r="F395" s="11"/>
      <c r="G395" s="26">
        <f>4.088+2.421+8.166+300</f>
        <v>314.675</v>
      </c>
      <c r="H395" s="26"/>
      <c r="I395" s="68"/>
      <c r="J395" s="75"/>
      <c r="K395" s="73"/>
    </row>
    <row r="396" spans="1:11" s="37" customFormat="1" ht="47.25">
      <c r="A396" s="43" t="s">
        <v>273</v>
      </c>
      <c r="B396" s="19" t="s">
        <v>28</v>
      </c>
      <c r="C396" s="19" t="s">
        <v>9</v>
      </c>
      <c r="D396" s="19" t="s">
        <v>137</v>
      </c>
      <c r="E396" s="19"/>
      <c r="F396" s="11"/>
      <c r="G396" s="26">
        <f>G397</f>
        <v>709.6</v>
      </c>
      <c r="H396" s="26">
        <f>H397</f>
        <v>709.6</v>
      </c>
      <c r="I396" s="68">
        <f>I397</f>
        <v>709.6</v>
      </c>
      <c r="J396" s="75"/>
      <c r="K396" s="73"/>
    </row>
    <row r="397" spans="1:11" s="37" customFormat="1" ht="47.25">
      <c r="A397" s="54" t="s">
        <v>256</v>
      </c>
      <c r="B397" s="23" t="s">
        <v>28</v>
      </c>
      <c r="C397" s="23" t="s">
        <v>9</v>
      </c>
      <c r="D397" s="57" t="s">
        <v>284</v>
      </c>
      <c r="E397" s="23"/>
      <c r="F397" s="11"/>
      <c r="G397" s="26">
        <f>G400+G398+G399</f>
        <v>709.6</v>
      </c>
      <c r="H397" s="26">
        <f>H400+H398+H399</f>
        <v>709.6</v>
      </c>
      <c r="I397" s="68">
        <f>I400+I398+I399</f>
        <v>709.6</v>
      </c>
      <c r="J397" s="75"/>
      <c r="K397" s="73"/>
    </row>
    <row r="398" spans="1:11" s="37" customFormat="1" ht="15.75" hidden="1">
      <c r="A398" s="54" t="s">
        <v>172</v>
      </c>
      <c r="B398" s="23" t="s">
        <v>28</v>
      </c>
      <c r="C398" s="23" t="s">
        <v>9</v>
      </c>
      <c r="D398" s="57" t="s">
        <v>284</v>
      </c>
      <c r="E398" s="23" t="s">
        <v>80</v>
      </c>
      <c r="F398" s="11"/>
      <c r="G398" s="26"/>
      <c r="H398" s="26"/>
      <c r="I398" s="68"/>
      <c r="J398" s="75"/>
      <c r="K398" s="73"/>
    </row>
    <row r="399" spans="1:11" s="37" customFormat="1" ht="63" hidden="1">
      <c r="A399" s="97" t="s">
        <v>173</v>
      </c>
      <c r="B399" s="23" t="s">
        <v>28</v>
      </c>
      <c r="C399" s="23" t="s">
        <v>9</v>
      </c>
      <c r="D399" s="57" t="s">
        <v>284</v>
      </c>
      <c r="E399" s="23" t="s">
        <v>136</v>
      </c>
      <c r="F399" s="11"/>
      <c r="G399" s="26"/>
      <c r="H399" s="26"/>
      <c r="I399" s="68"/>
      <c r="J399" s="75"/>
      <c r="K399" s="73"/>
    </row>
    <row r="400" spans="1:11" s="37" customFormat="1" ht="47.25">
      <c r="A400" s="54" t="s">
        <v>70</v>
      </c>
      <c r="B400" s="23" t="s">
        <v>28</v>
      </c>
      <c r="C400" s="23" t="s">
        <v>9</v>
      </c>
      <c r="D400" s="57" t="s">
        <v>284</v>
      </c>
      <c r="E400" s="23" t="s">
        <v>69</v>
      </c>
      <c r="F400" s="11"/>
      <c r="G400" s="26">
        <v>709.6</v>
      </c>
      <c r="H400" s="26">
        <v>709.6</v>
      </c>
      <c r="I400" s="68">
        <v>709.6</v>
      </c>
      <c r="J400" s="75"/>
      <c r="K400" s="73"/>
    </row>
    <row r="401" spans="1:11" s="37" customFormat="1" ht="47.25" hidden="1">
      <c r="A401" s="43" t="s">
        <v>272</v>
      </c>
      <c r="B401" s="19" t="s">
        <v>28</v>
      </c>
      <c r="C401" s="19" t="s">
        <v>9</v>
      </c>
      <c r="D401" s="19" t="s">
        <v>142</v>
      </c>
      <c r="E401" s="23"/>
      <c r="F401" s="11"/>
      <c r="G401" s="26">
        <f>G402</f>
        <v>0</v>
      </c>
      <c r="H401" s="26">
        <f>H402</f>
        <v>0</v>
      </c>
      <c r="I401" s="68">
        <f>I402</f>
        <v>0</v>
      </c>
      <c r="J401" s="75"/>
      <c r="K401" s="73"/>
    </row>
    <row r="402" spans="1:11" s="37" customFormat="1" ht="47.25" hidden="1">
      <c r="A402" s="54" t="s">
        <v>256</v>
      </c>
      <c r="B402" s="23" t="s">
        <v>28</v>
      </c>
      <c r="C402" s="23" t="s">
        <v>9</v>
      </c>
      <c r="D402" s="57" t="s">
        <v>286</v>
      </c>
      <c r="E402" s="23"/>
      <c r="F402" s="11"/>
      <c r="G402" s="26">
        <f>G405+G403+G404</f>
        <v>0</v>
      </c>
      <c r="H402" s="26">
        <f>H405+H403+H404</f>
        <v>0</v>
      </c>
      <c r="I402" s="68">
        <f>I405+I403+I404</f>
        <v>0</v>
      </c>
      <c r="J402" s="75"/>
      <c r="K402" s="73"/>
    </row>
    <row r="403" spans="1:11" s="37" customFormat="1" ht="15.75" hidden="1">
      <c r="A403" s="54" t="s">
        <v>172</v>
      </c>
      <c r="B403" s="23" t="s">
        <v>28</v>
      </c>
      <c r="C403" s="23" t="s">
        <v>9</v>
      </c>
      <c r="D403" s="57" t="s">
        <v>286</v>
      </c>
      <c r="E403" s="23" t="s">
        <v>80</v>
      </c>
      <c r="F403" s="11"/>
      <c r="G403" s="26"/>
      <c r="H403" s="26"/>
      <c r="I403" s="68"/>
      <c r="J403" s="75"/>
      <c r="K403" s="73"/>
    </row>
    <row r="404" spans="1:11" s="37" customFormat="1" ht="63" hidden="1">
      <c r="A404" s="97" t="s">
        <v>173</v>
      </c>
      <c r="B404" s="23" t="s">
        <v>28</v>
      </c>
      <c r="C404" s="23" t="s">
        <v>9</v>
      </c>
      <c r="D404" s="57" t="s">
        <v>286</v>
      </c>
      <c r="E404" s="23" t="s">
        <v>136</v>
      </c>
      <c r="F404" s="11"/>
      <c r="G404" s="26"/>
      <c r="H404" s="26"/>
      <c r="I404" s="68"/>
      <c r="J404" s="75"/>
      <c r="K404" s="73"/>
    </row>
    <row r="405" spans="1:11" s="37" customFormat="1" ht="47.25" hidden="1">
      <c r="A405" s="54" t="s">
        <v>70</v>
      </c>
      <c r="B405" s="23" t="s">
        <v>28</v>
      </c>
      <c r="C405" s="23" t="s">
        <v>9</v>
      </c>
      <c r="D405" s="57" t="s">
        <v>286</v>
      </c>
      <c r="E405" s="23" t="s">
        <v>69</v>
      </c>
      <c r="F405" s="11"/>
      <c r="G405" s="26"/>
      <c r="H405" s="26"/>
      <c r="I405" s="68"/>
      <c r="J405" s="75"/>
      <c r="K405" s="73"/>
    </row>
    <row r="406" spans="1:11" s="3" customFormat="1" ht="63">
      <c r="A406" s="52" t="s">
        <v>271</v>
      </c>
      <c r="B406" s="19" t="s">
        <v>28</v>
      </c>
      <c r="C406" s="19" t="s">
        <v>9</v>
      </c>
      <c r="D406" s="19" t="s">
        <v>144</v>
      </c>
      <c r="E406" s="19"/>
      <c r="F406" s="14"/>
      <c r="G406" s="15">
        <f>G407+G418</f>
        <v>5431.3589999999995</v>
      </c>
      <c r="H406" s="15">
        <f>H407+H418</f>
        <v>6075.1</v>
      </c>
      <c r="I406" s="15">
        <f>I407+I418</f>
        <v>6211.1</v>
      </c>
      <c r="J406" s="32"/>
      <c r="K406" s="73"/>
    </row>
    <row r="407" spans="1:11" s="3" customFormat="1" ht="31.5">
      <c r="A407" s="36" t="s">
        <v>202</v>
      </c>
      <c r="B407" s="19" t="s">
        <v>28</v>
      </c>
      <c r="C407" s="19" t="s">
        <v>9</v>
      </c>
      <c r="D407" s="19" t="s">
        <v>145</v>
      </c>
      <c r="E407" s="19"/>
      <c r="F407" s="14"/>
      <c r="G407" s="15">
        <f>G408+G409+G412+G415+G416+G411+G413+G410+G417+G414</f>
        <v>5066.355</v>
      </c>
      <c r="H407" s="15">
        <f>H408+H409+H412+H415+H416+H411+H413+H410+H417+H414</f>
        <v>6075.1</v>
      </c>
      <c r="I407" s="15">
        <f>I408+I409+I412+I415+I416+I411+I413+I410+I417+I414</f>
        <v>6211.1</v>
      </c>
      <c r="J407" s="32"/>
      <c r="K407" s="73"/>
    </row>
    <row r="408" spans="1:11" s="3" customFormat="1" ht="15.75">
      <c r="A408" s="54" t="s">
        <v>172</v>
      </c>
      <c r="B408" s="19" t="s">
        <v>28</v>
      </c>
      <c r="C408" s="19" t="s">
        <v>9</v>
      </c>
      <c r="D408" s="19" t="s">
        <v>145</v>
      </c>
      <c r="E408" s="19" t="s">
        <v>80</v>
      </c>
      <c r="F408" s="14" t="e">
        <f>#REF!</f>
        <v>#REF!</v>
      </c>
      <c r="G408" s="20">
        <f>3738.9-145-145.3+145</f>
        <v>3593.6</v>
      </c>
      <c r="H408" s="20">
        <v>4078.8</v>
      </c>
      <c r="I408" s="72">
        <v>4078.8</v>
      </c>
      <c r="J408" s="32"/>
      <c r="K408" s="73"/>
    </row>
    <row r="409" spans="1:11" s="3" customFormat="1" ht="47.25">
      <c r="A409" s="54" t="s">
        <v>77</v>
      </c>
      <c r="B409" s="19" t="s">
        <v>28</v>
      </c>
      <c r="C409" s="19" t="s">
        <v>9</v>
      </c>
      <c r="D409" s="19" t="s">
        <v>145</v>
      </c>
      <c r="E409" s="19" t="s">
        <v>61</v>
      </c>
      <c r="F409" s="14" t="e">
        <f>#REF!</f>
        <v>#REF!</v>
      </c>
      <c r="G409" s="20">
        <f>3.4+4.8</f>
        <v>8.2</v>
      </c>
      <c r="H409" s="20"/>
      <c r="I409" s="72"/>
      <c r="J409" s="32"/>
      <c r="K409" s="73"/>
    </row>
    <row r="410" spans="1:11" s="3" customFormat="1" ht="65.25" customHeight="1">
      <c r="A410" s="54" t="s">
        <v>198</v>
      </c>
      <c r="B410" s="19" t="s">
        <v>28</v>
      </c>
      <c r="C410" s="19" t="s">
        <v>9</v>
      </c>
      <c r="D410" s="19" t="s">
        <v>145</v>
      </c>
      <c r="E410" s="19" t="s">
        <v>197</v>
      </c>
      <c r="F410" s="14"/>
      <c r="G410" s="20">
        <f>3.4+4.8</f>
        <v>8.2</v>
      </c>
      <c r="H410" s="20"/>
      <c r="I410" s="72"/>
      <c r="J410" s="32"/>
      <c r="K410" s="73"/>
    </row>
    <row r="411" spans="1:11" s="3" customFormat="1" ht="63">
      <c r="A411" s="97" t="s">
        <v>173</v>
      </c>
      <c r="B411" s="19" t="s">
        <v>28</v>
      </c>
      <c r="C411" s="19" t="s">
        <v>9</v>
      </c>
      <c r="D411" s="19" t="s">
        <v>145</v>
      </c>
      <c r="E411" s="19" t="s">
        <v>136</v>
      </c>
      <c r="F411" s="14"/>
      <c r="G411" s="20">
        <f>951-23.15-149.827</f>
        <v>778.023</v>
      </c>
      <c r="H411" s="20">
        <v>1232.3</v>
      </c>
      <c r="I411" s="72">
        <v>1232.3</v>
      </c>
      <c r="J411" s="32"/>
      <c r="K411" s="73"/>
    </row>
    <row r="412" spans="1:11" s="3" customFormat="1" ht="47.25">
      <c r="A412" s="54" t="s">
        <v>70</v>
      </c>
      <c r="B412" s="19" t="s">
        <v>28</v>
      </c>
      <c r="C412" s="19" t="s">
        <v>9</v>
      </c>
      <c r="D412" s="19" t="s">
        <v>145</v>
      </c>
      <c r="E412" s="38" t="s">
        <v>69</v>
      </c>
      <c r="F412" s="14"/>
      <c r="G412" s="20">
        <f>591.55-549.75+0.094+0.92+125.68-125.68-13.2+20.6+1.89+28.852+9.896+70+3.203+4.5-0.94+7.544+0.4-0.004</f>
        <v>175.555</v>
      </c>
      <c r="H412" s="20">
        <f>764-718.2</f>
        <v>45.799999999999955</v>
      </c>
      <c r="I412" s="72">
        <f>900-851</f>
        <v>49</v>
      </c>
      <c r="J412" s="32"/>
      <c r="K412" s="73"/>
    </row>
    <row r="413" spans="1:11" s="3" customFormat="1" ht="47.25">
      <c r="A413" s="61" t="s">
        <v>207</v>
      </c>
      <c r="B413" s="19" t="s">
        <v>28</v>
      </c>
      <c r="C413" s="19" t="s">
        <v>9</v>
      </c>
      <c r="D413" s="19" t="s">
        <v>145</v>
      </c>
      <c r="E413" s="38" t="s">
        <v>82</v>
      </c>
      <c r="F413" s="14"/>
      <c r="G413" s="20"/>
      <c r="H413" s="20"/>
      <c r="I413" s="72"/>
      <c r="J413" s="32"/>
      <c r="K413" s="73"/>
    </row>
    <row r="414" spans="1:11" s="3" customFormat="1" ht="15.75">
      <c r="A414" s="61" t="s">
        <v>392</v>
      </c>
      <c r="B414" s="19" t="s">
        <v>28</v>
      </c>
      <c r="C414" s="19" t="s">
        <v>9</v>
      </c>
      <c r="D414" s="19" t="s">
        <v>145</v>
      </c>
      <c r="E414" s="38" t="s">
        <v>391</v>
      </c>
      <c r="F414" s="14"/>
      <c r="G414" s="20">
        <f>549.75+125.68-183.35+0.92+0.94</f>
        <v>493.94000000000005</v>
      </c>
      <c r="H414" s="20">
        <v>718.2</v>
      </c>
      <c r="I414" s="72">
        <v>851</v>
      </c>
      <c r="J414" s="32"/>
      <c r="K414" s="73"/>
    </row>
    <row r="415" spans="1:11" s="3" customFormat="1" ht="31.5">
      <c r="A415" s="61" t="s">
        <v>71</v>
      </c>
      <c r="B415" s="19" t="s">
        <v>28</v>
      </c>
      <c r="C415" s="19" t="s">
        <v>9</v>
      </c>
      <c r="D415" s="19" t="s">
        <v>145</v>
      </c>
      <c r="E415" s="38" t="s">
        <v>73</v>
      </c>
      <c r="F415" s="14"/>
      <c r="G415" s="15">
        <f>249-0.92-10.947-110.465-122.02-1.868+3.486</f>
        <v>6.266000000000011</v>
      </c>
      <c r="H415" s="15"/>
      <c r="I415" s="71"/>
      <c r="J415" s="32"/>
      <c r="K415" s="73"/>
    </row>
    <row r="416" spans="1:11" s="3" customFormat="1" ht="31.5">
      <c r="A416" s="61" t="s">
        <v>78</v>
      </c>
      <c r="B416" s="19" t="s">
        <v>28</v>
      </c>
      <c r="C416" s="19" t="s">
        <v>9</v>
      </c>
      <c r="D416" s="19" t="s">
        <v>145</v>
      </c>
      <c r="E416" s="19" t="s">
        <v>81</v>
      </c>
      <c r="F416" s="14"/>
      <c r="G416" s="15">
        <v>2.568</v>
      </c>
      <c r="H416" s="15"/>
      <c r="I416" s="71"/>
      <c r="J416" s="32"/>
      <c r="K416" s="73"/>
    </row>
    <row r="417" spans="1:11" s="3" customFormat="1" ht="15.75">
      <c r="A417" s="61" t="s">
        <v>195</v>
      </c>
      <c r="B417" s="19" t="s">
        <v>28</v>
      </c>
      <c r="C417" s="19" t="s">
        <v>9</v>
      </c>
      <c r="D417" s="19" t="s">
        <v>145</v>
      </c>
      <c r="E417" s="19" t="s">
        <v>193</v>
      </c>
      <c r="F417" s="14"/>
      <c r="G417" s="15">
        <f>0.002+0.001</f>
        <v>0.003</v>
      </c>
      <c r="H417" s="15"/>
      <c r="I417" s="71"/>
      <c r="J417" s="32"/>
      <c r="K417" s="73"/>
    </row>
    <row r="418" spans="1:11" s="3" customFormat="1" ht="68.25" customHeight="1">
      <c r="A418" s="61" t="s">
        <v>398</v>
      </c>
      <c r="B418" s="19" t="s">
        <v>28</v>
      </c>
      <c r="C418" s="19" t="s">
        <v>9</v>
      </c>
      <c r="D418" s="19" t="s">
        <v>397</v>
      </c>
      <c r="E418" s="19"/>
      <c r="F418" s="14"/>
      <c r="G418" s="15">
        <f>G419+G420+G421+G422</f>
        <v>365.004</v>
      </c>
      <c r="H418" s="15">
        <f>H419+H420+H421</f>
        <v>0</v>
      </c>
      <c r="I418" s="15">
        <f>I419+I420+I421</f>
        <v>0</v>
      </c>
      <c r="J418" s="32"/>
      <c r="K418" s="73"/>
    </row>
    <row r="419" spans="1:11" s="3" customFormat="1" ht="15.75">
      <c r="A419" s="54" t="s">
        <v>172</v>
      </c>
      <c r="B419" s="19" t="s">
        <v>28</v>
      </c>
      <c r="C419" s="19" t="s">
        <v>9</v>
      </c>
      <c r="D419" s="19" t="s">
        <v>397</v>
      </c>
      <c r="E419" s="19" t="s">
        <v>80</v>
      </c>
      <c r="F419" s="14"/>
      <c r="G419" s="15">
        <v>145.3</v>
      </c>
      <c r="H419" s="15"/>
      <c r="I419" s="71"/>
      <c r="J419" s="32"/>
      <c r="K419" s="73"/>
    </row>
    <row r="420" spans="1:11" s="3" customFormat="1" ht="63">
      <c r="A420" s="97" t="s">
        <v>173</v>
      </c>
      <c r="B420" s="19" t="s">
        <v>28</v>
      </c>
      <c r="C420" s="19" t="s">
        <v>9</v>
      </c>
      <c r="D420" s="19" t="s">
        <v>397</v>
      </c>
      <c r="E420" s="19" t="s">
        <v>136</v>
      </c>
      <c r="F420" s="14"/>
      <c r="G420" s="15">
        <v>23.15</v>
      </c>
      <c r="H420" s="15"/>
      <c r="I420" s="71"/>
      <c r="J420" s="32"/>
      <c r="K420" s="73"/>
    </row>
    <row r="421" spans="1:11" s="3" customFormat="1" ht="47.25">
      <c r="A421" s="54" t="s">
        <v>70</v>
      </c>
      <c r="B421" s="19" t="s">
        <v>28</v>
      </c>
      <c r="C421" s="19" t="s">
        <v>9</v>
      </c>
      <c r="D421" s="19" t="s">
        <v>397</v>
      </c>
      <c r="E421" s="19" t="s">
        <v>69</v>
      </c>
      <c r="F421" s="14"/>
      <c r="G421" s="15">
        <f>196.55-183.35+0.004</f>
        <v>13.204000000000017</v>
      </c>
      <c r="H421" s="15"/>
      <c r="I421" s="71"/>
      <c r="J421" s="32"/>
      <c r="K421" s="73"/>
    </row>
    <row r="422" spans="1:11" s="3" customFormat="1" ht="15.75">
      <c r="A422" s="61" t="s">
        <v>392</v>
      </c>
      <c r="B422" s="19" t="s">
        <v>28</v>
      </c>
      <c r="C422" s="19" t="s">
        <v>9</v>
      </c>
      <c r="D422" s="19" t="s">
        <v>397</v>
      </c>
      <c r="E422" s="19" t="s">
        <v>391</v>
      </c>
      <c r="F422" s="14"/>
      <c r="G422" s="15">
        <v>183.35</v>
      </c>
      <c r="H422" s="15"/>
      <c r="I422" s="71"/>
      <c r="J422" s="32"/>
      <c r="K422" s="73"/>
    </row>
    <row r="423" spans="1:11" s="3" customFormat="1" ht="31.5">
      <c r="A423" s="54" t="s">
        <v>72</v>
      </c>
      <c r="B423" s="19" t="s">
        <v>28</v>
      </c>
      <c r="C423" s="19" t="s">
        <v>9</v>
      </c>
      <c r="D423" s="19" t="s">
        <v>109</v>
      </c>
      <c r="E423" s="19"/>
      <c r="F423" s="14"/>
      <c r="G423" s="15">
        <f>G424+G428+G426</f>
        <v>365</v>
      </c>
      <c r="H423" s="15">
        <f>H424+H428+H426</f>
        <v>0</v>
      </c>
      <c r="I423" s="15">
        <f>I424+I428+I426</f>
        <v>0</v>
      </c>
      <c r="J423" s="32"/>
      <c r="K423" s="73"/>
    </row>
    <row r="424" spans="1:11" s="3" customFormat="1" ht="78.75">
      <c r="A424" s="61" t="s">
        <v>249</v>
      </c>
      <c r="B424" s="19" t="s">
        <v>28</v>
      </c>
      <c r="C424" s="19" t="s">
        <v>9</v>
      </c>
      <c r="D424" s="19" t="s">
        <v>185</v>
      </c>
      <c r="E424" s="19"/>
      <c r="F424" s="14"/>
      <c r="G424" s="15">
        <f>G425</f>
        <v>0</v>
      </c>
      <c r="H424" s="15">
        <f>H425</f>
        <v>0</v>
      </c>
      <c r="I424" s="71">
        <f>I425</f>
        <v>0</v>
      </c>
      <c r="J424" s="32"/>
      <c r="K424" s="73"/>
    </row>
    <row r="425" spans="1:11" s="3" customFormat="1" ht="31.5">
      <c r="A425" s="45" t="s">
        <v>60</v>
      </c>
      <c r="B425" s="19" t="s">
        <v>28</v>
      </c>
      <c r="C425" s="19" t="s">
        <v>9</v>
      </c>
      <c r="D425" s="19" t="s">
        <v>185</v>
      </c>
      <c r="E425" s="19" t="s">
        <v>59</v>
      </c>
      <c r="F425" s="14"/>
      <c r="G425" s="15"/>
      <c r="H425" s="15"/>
      <c r="I425" s="71"/>
      <c r="J425" s="32"/>
      <c r="K425" s="73"/>
    </row>
    <row r="426" spans="1:11" s="3" customFormat="1" ht="63">
      <c r="A426" s="58" t="s">
        <v>395</v>
      </c>
      <c r="B426" s="19" t="s">
        <v>28</v>
      </c>
      <c r="C426" s="19" t="s">
        <v>9</v>
      </c>
      <c r="D426" s="19" t="s">
        <v>394</v>
      </c>
      <c r="E426" s="10"/>
      <c r="F426" s="14"/>
      <c r="G426" s="15">
        <f>G427</f>
        <v>365</v>
      </c>
      <c r="H426" s="15">
        <f>H427</f>
        <v>0</v>
      </c>
      <c r="I426" s="15">
        <f>I427</f>
        <v>0</v>
      </c>
      <c r="J426" s="32"/>
      <c r="K426" s="73"/>
    </row>
    <row r="427" spans="1:11" s="3" customFormat="1" ht="31.5">
      <c r="A427" s="58" t="s">
        <v>396</v>
      </c>
      <c r="B427" s="19" t="s">
        <v>28</v>
      </c>
      <c r="C427" s="19" t="s">
        <v>9</v>
      </c>
      <c r="D427" s="19" t="s">
        <v>394</v>
      </c>
      <c r="E427" s="10" t="s">
        <v>385</v>
      </c>
      <c r="F427" s="14"/>
      <c r="G427" s="15">
        <v>365</v>
      </c>
      <c r="H427" s="15"/>
      <c r="I427" s="71"/>
      <c r="J427" s="32"/>
      <c r="K427" s="73"/>
    </row>
    <row r="428" spans="1:11" s="3" customFormat="1" ht="63" hidden="1">
      <c r="A428" s="61" t="s">
        <v>315</v>
      </c>
      <c r="B428" s="19" t="s">
        <v>28</v>
      </c>
      <c r="C428" s="19" t="s">
        <v>9</v>
      </c>
      <c r="D428" s="19" t="s">
        <v>316</v>
      </c>
      <c r="E428" s="39"/>
      <c r="F428" s="14"/>
      <c r="G428" s="15">
        <f>G429</f>
        <v>0</v>
      </c>
      <c r="H428" s="15">
        <f>H429</f>
        <v>0</v>
      </c>
      <c r="I428" s="71">
        <f>I429</f>
        <v>0</v>
      </c>
      <c r="J428" s="32"/>
      <c r="K428" s="73"/>
    </row>
    <row r="429" spans="1:11" s="3" customFormat="1" ht="47.25" hidden="1">
      <c r="A429" s="54" t="s">
        <v>70</v>
      </c>
      <c r="B429" s="19" t="s">
        <v>28</v>
      </c>
      <c r="C429" s="19" t="s">
        <v>9</v>
      </c>
      <c r="D429" s="19" t="s">
        <v>316</v>
      </c>
      <c r="E429" s="39" t="s">
        <v>69</v>
      </c>
      <c r="F429" s="14"/>
      <c r="G429" s="15"/>
      <c r="H429" s="15"/>
      <c r="I429" s="71"/>
      <c r="J429" s="32"/>
      <c r="K429" s="73"/>
    </row>
    <row r="430" spans="1:11" s="40" customFormat="1" ht="47.25" hidden="1">
      <c r="A430" s="59" t="s">
        <v>215</v>
      </c>
      <c r="B430" s="30" t="s">
        <v>28</v>
      </c>
      <c r="C430" s="30" t="s">
        <v>20</v>
      </c>
      <c r="D430" s="30"/>
      <c r="E430" s="30"/>
      <c r="F430" s="28"/>
      <c r="G430" s="29">
        <f>G437+G434+G431+G440</f>
        <v>0</v>
      </c>
      <c r="H430" s="29">
        <f>H437+H434+H431</f>
        <v>0</v>
      </c>
      <c r="I430" s="67">
        <f>I437+I434+I431</f>
        <v>0</v>
      </c>
      <c r="J430" s="74"/>
      <c r="K430" s="73"/>
    </row>
    <row r="431" spans="1:11" s="40" customFormat="1" ht="31.5" hidden="1">
      <c r="A431" s="35" t="s">
        <v>62</v>
      </c>
      <c r="B431" s="10" t="s">
        <v>28</v>
      </c>
      <c r="C431" s="10" t="s">
        <v>20</v>
      </c>
      <c r="D431" s="10" t="s">
        <v>102</v>
      </c>
      <c r="E431" s="23"/>
      <c r="F431" s="25"/>
      <c r="G431" s="26">
        <f aca="true" t="shared" si="18" ref="G431:I432">G432</f>
        <v>0</v>
      </c>
      <c r="H431" s="26">
        <f t="shared" si="18"/>
        <v>0</v>
      </c>
      <c r="I431" s="68">
        <f t="shared" si="18"/>
        <v>0</v>
      </c>
      <c r="J431" s="74"/>
      <c r="K431" s="73"/>
    </row>
    <row r="432" spans="1:11" s="40" customFormat="1" ht="47.25" hidden="1">
      <c r="A432" s="35" t="s">
        <v>65</v>
      </c>
      <c r="B432" s="10" t="s">
        <v>28</v>
      </c>
      <c r="C432" s="10" t="s">
        <v>20</v>
      </c>
      <c r="D432" s="10" t="s">
        <v>103</v>
      </c>
      <c r="E432" s="23"/>
      <c r="F432" s="25"/>
      <c r="G432" s="26">
        <f t="shared" si="18"/>
        <v>0</v>
      </c>
      <c r="H432" s="26">
        <f t="shared" si="18"/>
        <v>0</v>
      </c>
      <c r="I432" s="68">
        <f t="shared" si="18"/>
        <v>0</v>
      </c>
      <c r="J432" s="74"/>
      <c r="K432" s="73"/>
    </row>
    <row r="433" spans="1:11" s="40" customFormat="1" ht="47.25" hidden="1">
      <c r="A433" s="54" t="s">
        <v>70</v>
      </c>
      <c r="B433" s="23" t="s">
        <v>28</v>
      </c>
      <c r="C433" s="23" t="s">
        <v>20</v>
      </c>
      <c r="D433" s="10" t="s">
        <v>103</v>
      </c>
      <c r="E433" s="23" t="s">
        <v>69</v>
      </c>
      <c r="F433" s="25"/>
      <c r="G433" s="26"/>
      <c r="H433" s="26"/>
      <c r="I433" s="68"/>
      <c r="J433" s="74"/>
      <c r="K433" s="73"/>
    </row>
    <row r="434" spans="1:11" s="40" customFormat="1" ht="45.75" customHeight="1" hidden="1">
      <c r="A434" s="52" t="s">
        <v>270</v>
      </c>
      <c r="B434" s="19" t="s">
        <v>28</v>
      </c>
      <c r="C434" s="19" t="s">
        <v>20</v>
      </c>
      <c r="D434" s="23" t="s">
        <v>150</v>
      </c>
      <c r="E434" s="23"/>
      <c r="F434" s="25"/>
      <c r="G434" s="26">
        <f aca="true" t="shared" si="19" ref="G434:I435">G435</f>
        <v>0</v>
      </c>
      <c r="H434" s="26">
        <f t="shared" si="19"/>
        <v>0</v>
      </c>
      <c r="I434" s="68">
        <f t="shared" si="19"/>
        <v>0</v>
      </c>
      <c r="J434" s="74"/>
      <c r="K434" s="73"/>
    </row>
    <row r="435" spans="1:11" s="40" customFormat="1" ht="31.5" hidden="1">
      <c r="A435" s="35" t="s">
        <v>201</v>
      </c>
      <c r="B435" s="19" t="s">
        <v>28</v>
      </c>
      <c r="C435" s="19" t="s">
        <v>20</v>
      </c>
      <c r="D435" s="23" t="s">
        <v>151</v>
      </c>
      <c r="E435" s="23"/>
      <c r="F435" s="25"/>
      <c r="G435" s="26">
        <f t="shared" si="19"/>
        <v>0</v>
      </c>
      <c r="H435" s="26">
        <f t="shared" si="19"/>
        <v>0</v>
      </c>
      <c r="I435" s="68">
        <f t="shared" si="19"/>
        <v>0</v>
      </c>
      <c r="J435" s="74"/>
      <c r="K435" s="73"/>
    </row>
    <row r="436" spans="1:11" s="40" customFormat="1" ht="47.25" hidden="1">
      <c r="A436" s="54" t="s">
        <v>70</v>
      </c>
      <c r="B436" s="19" t="s">
        <v>28</v>
      </c>
      <c r="C436" s="19" t="s">
        <v>20</v>
      </c>
      <c r="D436" s="23" t="s">
        <v>151</v>
      </c>
      <c r="E436" s="23" t="s">
        <v>69</v>
      </c>
      <c r="F436" s="25"/>
      <c r="G436" s="26"/>
      <c r="H436" s="26"/>
      <c r="I436" s="68"/>
      <c r="J436" s="74"/>
      <c r="K436" s="73"/>
    </row>
    <row r="437" spans="1:11" s="3" customFormat="1" ht="63" hidden="1">
      <c r="A437" s="43" t="s">
        <v>204</v>
      </c>
      <c r="B437" s="19" t="s">
        <v>28</v>
      </c>
      <c r="C437" s="19" t="s">
        <v>20</v>
      </c>
      <c r="D437" s="19" t="s">
        <v>142</v>
      </c>
      <c r="E437" s="19"/>
      <c r="F437" s="14"/>
      <c r="G437" s="15">
        <f aca="true" t="shared" si="20" ref="G437:I438">G438</f>
        <v>0</v>
      </c>
      <c r="H437" s="15">
        <f t="shared" si="20"/>
        <v>0</v>
      </c>
      <c r="I437" s="71">
        <f t="shared" si="20"/>
        <v>0</v>
      </c>
      <c r="J437" s="32"/>
      <c r="K437" s="73"/>
    </row>
    <row r="438" spans="1:11" s="3" customFormat="1" ht="31.5" hidden="1">
      <c r="A438" s="36" t="s">
        <v>202</v>
      </c>
      <c r="B438" s="19" t="s">
        <v>28</v>
      </c>
      <c r="C438" s="19" t="s">
        <v>20</v>
      </c>
      <c r="D438" s="19" t="s">
        <v>143</v>
      </c>
      <c r="E438" s="19"/>
      <c r="F438" s="14"/>
      <c r="G438" s="15">
        <f t="shared" si="20"/>
        <v>0</v>
      </c>
      <c r="H438" s="15">
        <f t="shared" si="20"/>
        <v>0</v>
      </c>
      <c r="I438" s="71">
        <f t="shared" si="20"/>
        <v>0</v>
      </c>
      <c r="J438" s="32"/>
      <c r="K438" s="73"/>
    </row>
    <row r="439" spans="1:11" s="3" customFormat="1" ht="47.25" hidden="1">
      <c r="A439" s="54" t="s">
        <v>70</v>
      </c>
      <c r="B439" s="19" t="s">
        <v>28</v>
      </c>
      <c r="C439" s="19" t="s">
        <v>20</v>
      </c>
      <c r="D439" s="19" t="s">
        <v>143</v>
      </c>
      <c r="E439" s="19" t="s">
        <v>69</v>
      </c>
      <c r="F439" s="14"/>
      <c r="G439" s="15"/>
      <c r="H439" s="15"/>
      <c r="I439" s="71"/>
      <c r="J439" s="32"/>
      <c r="K439" s="73"/>
    </row>
    <row r="440" spans="1:11" s="3" customFormat="1" ht="31.5" hidden="1">
      <c r="A440" s="54" t="s">
        <v>202</v>
      </c>
      <c r="B440" s="19" t="s">
        <v>28</v>
      </c>
      <c r="C440" s="19" t="s">
        <v>20</v>
      </c>
      <c r="D440" s="19" t="s">
        <v>145</v>
      </c>
      <c r="E440" s="19"/>
      <c r="F440" s="14"/>
      <c r="G440" s="15">
        <f>G441+G442</f>
        <v>0</v>
      </c>
      <c r="H440" s="15"/>
      <c r="I440" s="71"/>
      <c r="J440" s="32"/>
      <c r="K440" s="73"/>
    </row>
    <row r="441" spans="1:11" s="3" customFormat="1" ht="47.25" hidden="1">
      <c r="A441" s="54" t="s">
        <v>70</v>
      </c>
      <c r="B441" s="19" t="s">
        <v>28</v>
      </c>
      <c r="C441" s="19" t="s">
        <v>20</v>
      </c>
      <c r="D441" s="19" t="s">
        <v>145</v>
      </c>
      <c r="E441" s="19" t="s">
        <v>69</v>
      </c>
      <c r="F441" s="14"/>
      <c r="G441" s="15"/>
      <c r="H441" s="15"/>
      <c r="I441" s="71"/>
      <c r="J441" s="32"/>
      <c r="K441" s="73"/>
    </row>
    <row r="442" spans="1:11" s="3" customFormat="1" ht="15.75" hidden="1">
      <c r="A442" s="61" t="s">
        <v>195</v>
      </c>
      <c r="B442" s="19" t="s">
        <v>28</v>
      </c>
      <c r="C442" s="19" t="s">
        <v>20</v>
      </c>
      <c r="D442" s="19" t="s">
        <v>145</v>
      </c>
      <c r="E442" s="19" t="s">
        <v>193</v>
      </c>
      <c r="F442" s="14"/>
      <c r="G442" s="15">
        <f>0.001-0.001</f>
        <v>0</v>
      </c>
      <c r="H442" s="15"/>
      <c r="I442" s="71"/>
      <c r="J442" s="32"/>
      <c r="K442" s="73"/>
    </row>
    <row r="443" spans="1:11" s="37" customFormat="1" ht="29.25" customHeight="1">
      <c r="A443" s="98" t="s">
        <v>32</v>
      </c>
      <c r="B443" s="9" t="s">
        <v>28</v>
      </c>
      <c r="C443" s="9" t="s">
        <v>28</v>
      </c>
      <c r="D443" s="9"/>
      <c r="E443" s="9"/>
      <c r="F443" s="11" t="e">
        <f>#REF!+#REF!</f>
        <v>#REF!</v>
      </c>
      <c r="G443" s="12">
        <f>G444</f>
        <v>989.7</v>
      </c>
      <c r="H443" s="12">
        <f>H444</f>
        <v>932.5</v>
      </c>
      <c r="I443" s="66">
        <f>I444</f>
        <v>965.2</v>
      </c>
      <c r="J443" s="75"/>
      <c r="K443" s="73"/>
    </row>
    <row r="444" spans="1:11" s="37" customFormat="1" ht="78.75">
      <c r="A444" s="48" t="s">
        <v>269</v>
      </c>
      <c r="B444" s="23" t="s">
        <v>28</v>
      </c>
      <c r="C444" s="24" t="s">
        <v>28</v>
      </c>
      <c r="D444" s="24" t="s">
        <v>148</v>
      </c>
      <c r="E444" s="24"/>
      <c r="F444" s="11"/>
      <c r="G444" s="26">
        <f>G445+G447+G449</f>
        <v>989.7</v>
      </c>
      <c r="H444" s="26">
        <f>H445+H447+H449</f>
        <v>932.5</v>
      </c>
      <c r="I444" s="68">
        <f>I445+I447+I449</f>
        <v>965.2</v>
      </c>
      <c r="J444" s="75"/>
      <c r="K444" s="73"/>
    </row>
    <row r="445" spans="1:11" s="37" customFormat="1" ht="98.25" customHeight="1">
      <c r="A445" s="54" t="s">
        <v>98</v>
      </c>
      <c r="B445" s="23" t="s">
        <v>28</v>
      </c>
      <c r="C445" s="24" t="s">
        <v>28</v>
      </c>
      <c r="D445" s="24" t="s">
        <v>149</v>
      </c>
      <c r="E445" s="24"/>
      <c r="F445" s="11"/>
      <c r="G445" s="26">
        <f>G446</f>
        <v>52.1</v>
      </c>
      <c r="H445" s="26">
        <f>H446</f>
        <v>104.2</v>
      </c>
      <c r="I445" s="68">
        <f>I446</f>
        <v>104.2</v>
      </c>
      <c r="J445" s="75"/>
      <c r="K445" s="73"/>
    </row>
    <row r="446" spans="1:11" s="37" customFormat="1" ht="47.25">
      <c r="A446" s="54" t="s">
        <v>70</v>
      </c>
      <c r="B446" s="23" t="s">
        <v>28</v>
      </c>
      <c r="C446" s="24" t="s">
        <v>28</v>
      </c>
      <c r="D446" s="24" t="s">
        <v>149</v>
      </c>
      <c r="E446" s="24" t="s">
        <v>69</v>
      </c>
      <c r="F446" s="11"/>
      <c r="G446" s="26">
        <v>52.1</v>
      </c>
      <c r="H446" s="26">
        <v>104.2</v>
      </c>
      <c r="I446" s="68">
        <v>104.2</v>
      </c>
      <c r="J446" s="75"/>
      <c r="K446" s="73"/>
    </row>
    <row r="447" spans="1:11" s="37" customFormat="1" ht="63" hidden="1">
      <c r="A447" s="54" t="s">
        <v>169</v>
      </c>
      <c r="B447" s="23" t="s">
        <v>28</v>
      </c>
      <c r="C447" s="24" t="s">
        <v>28</v>
      </c>
      <c r="D447" s="24" t="s">
        <v>170</v>
      </c>
      <c r="E447" s="24"/>
      <c r="F447" s="11"/>
      <c r="G447" s="26">
        <f>G448</f>
        <v>0</v>
      </c>
      <c r="H447" s="26">
        <f>H448</f>
        <v>0</v>
      </c>
      <c r="I447" s="68">
        <f>I448</f>
        <v>0</v>
      </c>
      <c r="J447" s="75"/>
      <c r="K447" s="73"/>
    </row>
    <row r="448" spans="1:11" s="37" customFormat="1" ht="47.25" hidden="1">
      <c r="A448" s="54" t="s">
        <v>70</v>
      </c>
      <c r="B448" s="23" t="s">
        <v>28</v>
      </c>
      <c r="C448" s="24" t="s">
        <v>28</v>
      </c>
      <c r="D448" s="24" t="s">
        <v>170</v>
      </c>
      <c r="E448" s="24" t="s">
        <v>69</v>
      </c>
      <c r="F448" s="11"/>
      <c r="G448" s="26"/>
      <c r="H448" s="26"/>
      <c r="I448" s="68"/>
      <c r="J448" s="75"/>
      <c r="K448" s="73"/>
    </row>
    <row r="449" spans="1:11" s="37" customFormat="1" ht="68.25" customHeight="1">
      <c r="A449" s="35" t="s">
        <v>257</v>
      </c>
      <c r="B449" s="23" t="s">
        <v>28</v>
      </c>
      <c r="C449" s="23" t="s">
        <v>28</v>
      </c>
      <c r="D449" s="23" t="s">
        <v>287</v>
      </c>
      <c r="E449" s="23"/>
      <c r="F449" s="11"/>
      <c r="G449" s="26">
        <f>G450</f>
        <v>937.6</v>
      </c>
      <c r="H449" s="26">
        <f>H450</f>
        <v>828.3</v>
      </c>
      <c r="I449" s="68">
        <f>I450</f>
        <v>861</v>
      </c>
      <c r="J449" s="75"/>
      <c r="K449" s="73"/>
    </row>
    <row r="450" spans="1:11" s="37" customFormat="1" ht="47.25">
      <c r="A450" s="54" t="s">
        <v>70</v>
      </c>
      <c r="B450" s="23" t="s">
        <v>28</v>
      </c>
      <c r="C450" s="23" t="s">
        <v>28</v>
      </c>
      <c r="D450" s="23" t="s">
        <v>287</v>
      </c>
      <c r="E450" s="23" t="s">
        <v>69</v>
      </c>
      <c r="F450" s="11"/>
      <c r="G450" s="26">
        <v>937.6</v>
      </c>
      <c r="H450" s="26">
        <v>828.3</v>
      </c>
      <c r="I450" s="68">
        <v>861</v>
      </c>
      <c r="J450" s="75"/>
      <c r="K450" s="73"/>
    </row>
    <row r="451" spans="1:11" s="37" customFormat="1" ht="15.75">
      <c r="A451" s="98" t="s">
        <v>52</v>
      </c>
      <c r="B451" s="9" t="s">
        <v>33</v>
      </c>
      <c r="C451" s="9"/>
      <c r="D451" s="9"/>
      <c r="E451" s="9"/>
      <c r="F451" s="11" t="e">
        <f>F452+#REF!+#REF!</f>
        <v>#REF!</v>
      </c>
      <c r="G451" s="12">
        <f>G452</f>
        <v>9012.168000000001</v>
      </c>
      <c r="H451" s="12">
        <f>H452</f>
        <v>6521</v>
      </c>
      <c r="I451" s="66">
        <f>I452</f>
        <v>6416</v>
      </c>
      <c r="J451" s="75"/>
      <c r="K451" s="73"/>
    </row>
    <row r="452" spans="1:11" s="37" customFormat="1" ht="15.75">
      <c r="A452" s="98" t="s">
        <v>34</v>
      </c>
      <c r="B452" s="9" t="s">
        <v>33</v>
      </c>
      <c r="C452" s="9" t="s">
        <v>6</v>
      </c>
      <c r="D452" s="9"/>
      <c r="E452" s="9"/>
      <c r="F452" s="11" t="e">
        <f>#REF!+F486+#REF!+#REF!</f>
        <v>#REF!</v>
      </c>
      <c r="G452" s="12">
        <f>G474+G484+G488+G497+G453</f>
        <v>9012.168000000001</v>
      </c>
      <c r="H452" s="12">
        <f>H474+H484+H488+H497+H453</f>
        <v>6521</v>
      </c>
      <c r="I452" s="66">
        <f>I474+I484+I488+I497+I453</f>
        <v>6416</v>
      </c>
      <c r="J452" s="75"/>
      <c r="K452" s="73"/>
    </row>
    <row r="453" spans="1:11" s="37" customFormat="1" ht="66" customHeight="1">
      <c r="A453" s="51" t="s">
        <v>268</v>
      </c>
      <c r="B453" s="23" t="s">
        <v>33</v>
      </c>
      <c r="C453" s="23" t="s">
        <v>6</v>
      </c>
      <c r="D453" s="23" t="s">
        <v>212</v>
      </c>
      <c r="E453" s="23"/>
      <c r="F453" s="25"/>
      <c r="G453" s="26">
        <f>G454+G466+G470</f>
        <v>2271.593</v>
      </c>
      <c r="H453" s="26">
        <f>H454+H466+H470</f>
        <v>85</v>
      </c>
      <c r="I453" s="26">
        <f>I454+I466+I470</f>
        <v>0</v>
      </c>
      <c r="J453" s="80"/>
      <c r="K453" s="73"/>
    </row>
    <row r="454" spans="1:11" s="41" customFormat="1" ht="63">
      <c r="A454" s="108" t="s">
        <v>404</v>
      </c>
      <c r="B454" s="23" t="s">
        <v>33</v>
      </c>
      <c r="C454" s="23" t="s">
        <v>6</v>
      </c>
      <c r="D454" s="23" t="s">
        <v>213</v>
      </c>
      <c r="E454" s="23"/>
      <c r="F454" s="25"/>
      <c r="G454" s="26">
        <f>G455+G463+G460</f>
        <v>2261.593</v>
      </c>
      <c r="H454" s="26">
        <f>H455+H463+H460</f>
        <v>75</v>
      </c>
      <c r="I454" s="26">
        <f>I455+I463+I460</f>
        <v>0</v>
      </c>
      <c r="J454" s="76"/>
      <c r="K454" s="73"/>
    </row>
    <row r="455" spans="1:11" s="41" customFormat="1" ht="47.25">
      <c r="A455" s="109" t="s">
        <v>299</v>
      </c>
      <c r="B455" s="23" t="s">
        <v>33</v>
      </c>
      <c r="C455" s="23" t="s">
        <v>6</v>
      </c>
      <c r="D455" s="23" t="s">
        <v>214</v>
      </c>
      <c r="E455" s="23"/>
      <c r="F455" s="25"/>
      <c r="G455" s="26">
        <f>G458+G456+G472</f>
        <v>2261.593</v>
      </c>
      <c r="H455" s="26">
        <f>H458+H456+H472</f>
        <v>75</v>
      </c>
      <c r="I455" s="26">
        <f>I458+I456+I472</f>
        <v>0</v>
      </c>
      <c r="J455" s="76"/>
      <c r="K455" s="73"/>
    </row>
    <row r="456" spans="1:11" s="41" customFormat="1" ht="47.25">
      <c r="A456" s="109" t="s">
        <v>317</v>
      </c>
      <c r="B456" s="23" t="s">
        <v>33</v>
      </c>
      <c r="C456" s="23" t="s">
        <v>6</v>
      </c>
      <c r="D456" s="23" t="s">
        <v>318</v>
      </c>
      <c r="E456" s="23"/>
      <c r="F456" s="25"/>
      <c r="G456" s="26">
        <f>G457</f>
        <v>7</v>
      </c>
      <c r="H456" s="26">
        <f>H457</f>
        <v>25</v>
      </c>
      <c r="I456" s="68">
        <f>I457</f>
        <v>0</v>
      </c>
      <c r="J456" s="76"/>
      <c r="K456" s="73"/>
    </row>
    <row r="457" spans="1:11" s="41" customFormat="1" ht="47.25">
      <c r="A457" s="35" t="s">
        <v>70</v>
      </c>
      <c r="B457" s="23" t="s">
        <v>33</v>
      </c>
      <c r="C457" s="23" t="s">
        <v>6</v>
      </c>
      <c r="D457" s="23" t="s">
        <v>318</v>
      </c>
      <c r="E457" s="23" t="s">
        <v>69</v>
      </c>
      <c r="F457" s="25"/>
      <c r="G457" s="26">
        <v>7</v>
      </c>
      <c r="H457" s="26">
        <v>25</v>
      </c>
      <c r="I457" s="68"/>
      <c r="J457" s="76"/>
      <c r="K457" s="73"/>
    </row>
    <row r="458" spans="1:11" s="41" customFormat="1" ht="15.75">
      <c r="A458" s="103" t="s">
        <v>300</v>
      </c>
      <c r="B458" s="23" t="s">
        <v>33</v>
      </c>
      <c r="C458" s="23" t="s">
        <v>6</v>
      </c>
      <c r="D458" s="23" t="s">
        <v>298</v>
      </c>
      <c r="E458" s="23"/>
      <c r="F458" s="25"/>
      <c r="G458" s="26">
        <f>G459</f>
        <v>0</v>
      </c>
      <c r="H458" s="26">
        <f>H459</f>
        <v>50</v>
      </c>
      <c r="I458" s="68">
        <f>I459</f>
        <v>0</v>
      </c>
      <c r="J458" s="76"/>
      <c r="K458" s="73"/>
    </row>
    <row r="459" spans="1:11" s="41" customFormat="1" ht="31.5">
      <c r="A459" s="62" t="s">
        <v>60</v>
      </c>
      <c r="B459" s="23" t="s">
        <v>33</v>
      </c>
      <c r="C459" s="23" t="s">
        <v>6</v>
      </c>
      <c r="D459" s="23" t="s">
        <v>298</v>
      </c>
      <c r="E459" s="23" t="s">
        <v>59</v>
      </c>
      <c r="F459" s="25"/>
      <c r="G459" s="26"/>
      <c r="H459" s="26">
        <v>50</v>
      </c>
      <c r="I459" s="68"/>
      <c r="J459" s="76"/>
      <c r="K459" s="73"/>
    </row>
    <row r="460" spans="1:11" s="41" customFormat="1" ht="47.25" hidden="1">
      <c r="A460" s="62" t="s">
        <v>299</v>
      </c>
      <c r="B460" s="23" t="s">
        <v>33</v>
      </c>
      <c r="C460" s="23" t="s">
        <v>6</v>
      </c>
      <c r="D460" s="23" t="s">
        <v>351</v>
      </c>
      <c r="E460" s="23"/>
      <c r="F460" s="25"/>
      <c r="G460" s="26">
        <f aca="true" t="shared" si="21" ref="G460:I461">G461</f>
        <v>0</v>
      </c>
      <c r="H460" s="26">
        <f t="shared" si="21"/>
        <v>0</v>
      </c>
      <c r="I460" s="26">
        <f t="shared" si="21"/>
        <v>0</v>
      </c>
      <c r="J460" s="76"/>
      <c r="K460" s="73"/>
    </row>
    <row r="461" spans="1:11" s="41" customFormat="1" ht="47.25" hidden="1">
      <c r="A461" s="62" t="s">
        <v>317</v>
      </c>
      <c r="B461" s="23" t="s">
        <v>33</v>
      </c>
      <c r="C461" s="23" t="s">
        <v>6</v>
      </c>
      <c r="D461" s="23" t="s">
        <v>350</v>
      </c>
      <c r="E461" s="23"/>
      <c r="F461" s="25"/>
      <c r="G461" s="26">
        <f t="shared" si="21"/>
        <v>0</v>
      </c>
      <c r="H461" s="26">
        <f t="shared" si="21"/>
        <v>0</v>
      </c>
      <c r="I461" s="26">
        <f t="shared" si="21"/>
        <v>0</v>
      </c>
      <c r="J461" s="76"/>
      <c r="K461" s="73"/>
    </row>
    <row r="462" spans="1:11" s="41" customFormat="1" ht="47.25" hidden="1">
      <c r="A462" s="35" t="s">
        <v>70</v>
      </c>
      <c r="B462" s="23" t="s">
        <v>33</v>
      </c>
      <c r="C462" s="23" t="s">
        <v>6</v>
      </c>
      <c r="D462" s="23" t="s">
        <v>350</v>
      </c>
      <c r="E462" s="23" t="s">
        <v>69</v>
      </c>
      <c r="F462" s="25"/>
      <c r="G462" s="26"/>
      <c r="H462" s="26"/>
      <c r="I462" s="68"/>
      <c r="J462" s="76"/>
      <c r="K462" s="73"/>
    </row>
    <row r="463" spans="1:11" s="41" customFormat="1" ht="47.25" hidden="1">
      <c r="A463" s="84" t="s">
        <v>338</v>
      </c>
      <c r="B463" s="23" t="s">
        <v>33</v>
      </c>
      <c r="C463" s="23" t="s">
        <v>6</v>
      </c>
      <c r="D463" s="23" t="s">
        <v>336</v>
      </c>
      <c r="E463" s="23"/>
      <c r="F463" s="25"/>
      <c r="G463" s="26">
        <f>G464</f>
        <v>0</v>
      </c>
      <c r="H463" s="26"/>
      <c r="I463" s="68"/>
      <c r="J463" s="76"/>
      <c r="K463" s="73"/>
    </row>
    <row r="464" spans="1:11" s="41" customFormat="1" ht="31.5" hidden="1">
      <c r="A464" s="84" t="s">
        <v>339</v>
      </c>
      <c r="B464" s="23" t="s">
        <v>33</v>
      </c>
      <c r="C464" s="23" t="s">
        <v>6</v>
      </c>
      <c r="D464" s="23" t="s">
        <v>335</v>
      </c>
      <c r="E464" s="23"/>
      <c r="F464" s="25"/>
      <c r="G464" s="26">
        <f>G465</f>
        <v>0</v>
      </c>
      <c r="H464" s="26"/>
      <c r="I464" s="68"/>
      <c r="J464" s="76"/>
      <c r="K464" s="73"/>
    </row>
    <row r="465" spans="1:11" s="41" customFormat="1" ht="31.5" hidden="1">
      <c r="A465" s="84" t="s">
        <v>60</v>
      </c>
      <c r="B465" s="23" t="s">
        <v>33</v>
      </c>
      <c r="C465" s="23" t="s">
        <v>6</v>
      </c>
      <c r="D465" s="23" t="s">
        <v>335</v>
      </c>
      <c r="E465" s="23" t="s">
        <v>59</v>
      </c>
      <c r="F465" s="25"/>
      <c r="G465" s="26"/>
      <c r="H465" s="26"/>
      <c r="I465" s="68"/>
      <c r="J465" s="76"/>
      <c r="K465" s="73"/>
    </row>
    <row r="466" spans="1:11" s="41" customFormat="1" ht="31.5">
      <c r="A466" s="62" t="s">
        <v>304</v>
      </c>
      <c r="B466" s="23" t="s">
        <v>33</v>
      </c>
      <c r="C466" s="23" t="s">
        <v>6</v>
      </c>
      <c r="D466" s="23" t="s">
        <v>301</v>
      </c>
      <c r="E466" s="23"/>
      <c r="F466" s="25"/>
      <c r="G466" s="26">
        <f aca="true" t="shared" si="22" ref="G466:I468">G467</f>
        <v>7</v>
      </c>
      <c r="H466" s="26">
        <f t="shared" si="22"/>
        <v>10</v>
      </c>
      <c r="I466" s="68">
        <f t="shared" si="22"/>
        <v>0</v>
      </c>
      <c r="J466" s="76"/>
      <c r="K466" s="73"/>
    </row>
    <row r="467" spans="1:11" s="41" customFormat="1" ht="15.75">
      <c r="A467" s="62" t="s">
        <v>305</v>
      </c>
      <c r="B467" s="23" t="s">
        <v>33</v>
      </c>
      <c r="C467" s="23" t="s">
        <v>6</v>
      </c>
      <c r="D467" s="23" t="s">
        <v>302</v>
      </c>
      <c r="E467" s="23"/>
      <c r="F467" s="25"/>
      <c r="G467" s="26">
        <f t="shared" si="22"/>
        <v>7</v>
      </c>
      <c r="H467" s="26">
        <f t="shared" si="22"/>
        <v>10</v>
      </c>
      <c r="I467" s="68">
        <f t="shared" si="22"/>
        <v>0</v>
      </c>
      <c r="J467" s="76"/>
      <c r="K467" s="73"/>
    </row>
    <row r="468" spans="1:11" s="41" customFormat="1" ht="47.25">
      <c r="A468" s="62" t="s">
        <v>306</v>
      </c>
      <c r="B468" s="23" t="s">
        <v>33</v>
      </c>
      <c r="C468" s="23" t="s">
        <v>6</v>
      </c>
      <c r="D468" s="23" t="s">
        <v>303</v>
      </c>
      <c r="E468" s="23"/>
      <c r="F468" s="25"/>
      <c r="G468" s="26">
        <f t="shared" si="22"/>
        <v>7</v>
      </c>
      <c r="H468" s="26">
        <f t="shared" si="22"/>
        <v>10</v>
      </c>
      <c r="I468" s="68">
        <f t="shared" si="22"/>
        <v>0</v>
      </c>
      <c r="J468" s="76"/>
      <c r="K468" s="73"/>
    </row>
    <row r="469" spans="1:11" s="41" customFormat="1" ht="47.25">
      <c r="A469" s="35" t="s">
        <v>70</v>
      </c>
      <c r="B469" s="23" t="s">
        <v>33</v>
      </c>
      <c r="C469" s="23" t="s">
        <v>6</v>
      </c>
      <c r="D469" s="23" t="s">
        <v>303</v>
      </c>
      <c r="E469" s="23" t="s">
        <v>69</v>
      </c>
      <c r="F469" s="25"/>
      <c r="G469" s="26">
        <f>10-3</f>
        <v>7</v>
      </c>
      <c r="H469" s="26">
        <v>10</v>
      </c>
      <c r="I469" s="68"/>
      <c r="J469" s="76"/>
      <c r="K469" s="73"/>
    </row>
    <row r="470" spans="1:11" s="41" customFormat="1" ht="63">
      <c r="A470" s="35" t="s">
        <v>400</v>
      </c>
      <c r="B470" s="23" t="s">
        <v>33</v>
      </c>
      <c r="C470" s="23" t="s">
        <v>6</v>
      </c>
      <c r="D470" s="23" t="s">
        <v>399</v>
      </c>
      <c r="E470" s="23"/>
      <c r="F470" s="25"/>
      <c r="G470" s="26">
        <f>G471</f>
        <v>3</v>
      </c>
      <c r="H470" s="26">
        <f>H471</f>
        <v>0</v>
      </c>
      <c r="I470" s="26">
        <f>I471</f>
        <v>0</v>
      </c>
      <c r="J470" s="76"/>
      <c r="K470" s="73"/>
    </row>
    <row r="471" spans="1:11" s="41" customFormat="1" ht="47.25">
      <c r="A471" s="35" t="s">
        <v>70</v>
      </c>
      <c r="B471" s="23" t="s">
        <v>33</v>
      </c>
      <c r="C471" s="23" t="s">
        <v>6</v>
      </c>
      <c r="D471" s="23" t="s">
        <v>399</v>
      </c>
      <c r="E471" s="23" t="s">
        <v>69</v>
      </c>
      <c r="F471" s="25"/>
      <c r="G471" s="26">
        <v>3</v>
      </c>
      <c r="H471" s="26"/>
      <c r="I471" s="68"/>
      <c r="J471" s="76"/>
      <c r="K471" s="73"/>
    </row>
    <row r="472" spans="1:11" s="41" customFormat="1" ht="63">
      <c r="A472" s="35" t="s">
        <v>402</v>
      </c>
      <c r="B472" s="23" t="s">
        <v>33</v>
      </c>
      <c r="C472" s="23" t="s">
        <v>6</v>
      </c>
      <c r="D472" s="23" t="s">
        <v>401</v>
      </c>
      <c r="E472" s="23"/>
      <c r="F472" s="25"/>
      <c r="G472" s="26">
        <f>G473</f>
        <v>2254.593</v>
      </c>
      <c r="H472" s="26">
        <f>H473</f>
        <v>0</v>
      </c>
      <c r="I472" s="26">
        <f>I473</f>
        <v>0</v>
      </c>
      <c r="J472" s="76"/>
      <c r="K472" s="73"/>
    </row>
    <row r="473" spans="1:11" s="41" customFormat="1" ht="31.5">
      <c r="A473" s="62" t="s">
        <v>60</v>
      </c>
      <c r="B473" s="23" t="s">
        <v>33</v>
      </c>
      <c r="C473" s="23" t="s">
        <v>6</v>
      </c>
      <c r="D473" s="23" t="s">
        <v>401</v>
      </c>
      <c r="E473" s="23" t="s">
        <v>59</v>
      </c>
      <c r="F473" s="25"/>
      <c r="G473" s="26">
        <f>105.966+2148.627</f>
        <v>2254.593</v>
      </c>
      <c r="H473" s="26"/>
      <c r="I473" s="68"/>
      <c r="J473" s="76"/>
      <c r="K473" s="73"/>
    </row>
    <row r="474" spans="1:11" s="3" customFormat="1" ht="83.25" customHeight="1">
      <c r="A474" s="56" t="s">
        <v>313</v>
      </c>
      <c r="B474" s="19" t="s">
        <v>33</v>
      </c>
      <c r="C474" s="19" t="s">
        <v>6</v>
      </c>
      <c r="D474" s="19" t="s">
        <v>152</v>
      </c>
      <c r="E474" s="19"/>
      <c r="F474" s="14"/>
      <c r="G474" s="15">
        <f>G475</f>
        <v>488.9</v>
      </c>
      <c r="H474" s="15">
        <f>H475</f>
        <v>696.8</v>
      </c>
      <c r="I474" s="71">
        <f>I475</f>
        <v>676.8</v>
      </c>
      <c r="J474" s="32"/>
      <c r="K474" s="73"/>
    </row>
    <row r="475" spans="1:11" s="3" customFormat="1" ht="31.5">
      <c r="A475" s="35" t="s">
        <v>203</v>
      </c>
      <c r="B475" s="19" t="s">
        <v>33</v>
      </c>
      <c r="C475" s="19" t="s">
        <v>6</v>
      </c>
      <c r="D475" s="19" t="s">
        <v>153</v>
      </c>
      <c r="E475" s="19"/>
      <c r="F475" s="14"/>
      <c r="G475" s="15">
        <f>G476+G477+G479+G481+G478+G480+G482+G483</f>
        <v>488.9</v>
      </c>
      <c r="H475" s="15">
        <f>H476+H477+H479+H481+H478+H480+H482+H483</f>
        <v>696.8</v>
      </c>
      <c r="I475" s="15">
        <f>I476+I477+I479+I481+I478+I480+I482+I483</f>
        <v>676.8</v>
      </c>
      <c r="J475" s="32"/>
      <c r="K475" s="73"/>
    </row>
    <row r="476" spans="1:11" s="3" customFormat="1" ht="15.75">
      <c r="A476" s="54" t="s">
        <v>172</v>
      </c>
      <c r="B476" s="19" t="s">
        <v>33</v>
      </c>
      <c r="C476" s="19" t="s">
        <v>6</v>
      </c>
      <c r="D476" s="19" t="s">
        <v>153</v>
      </c>
      <c r="E476" s="19" t="s">
        <v>80</v>
      </c>
      <c r="F476" s="14">
        <f>F477</f>
        <v>6848</v>
      </c>
      <c r="G476" s="15">
        <v>320</v>
      </c>
      <c r="H476" s="15">
        <v>443</v>
      </c>
      <c r="I476" s="71">
        <v>443</v>
      </c>
      <c r="J476" s="32"/>
      <c r="K476" s="73"/>
    </row>
    <row r="477" spans="1:11" s="3" customFormat="1" ht="47.25" hidden="1">
      <c r="A477" s="54" t="s">
        <v>77</v>
      </c>
      <c r="B477" s="19" t="s">
        <v>33</v>
      </c>
      <c r="C477" s="19" t="s">
        <v>6</v>
      </c>
      <c r="D477" s="19" t="s">
        <v>153</v>
      </c>
      <c r="E477" s="19" t="s">
        <v>61</v>
      </c>
      <c r="F477" s="14">
        <f>6746+102</f>
        <v>6848</v>
      </c>
      <c r="G477" s="15"/>
      <c r="H477" s="15"/>
      <c r="I477" s="71"/>
      <c r="J477" s="32"/>
      <c r="K477" s="73"/>
    </row>
    <row r="478" spans="1:11" s="3" customFormat="1" ht="63">
      <c r="A478" s="97" t="s">
        <v>173</v>
      </c>
      <c r="B478" s="19" t="s">
        <v>33</v>
      </c>
      <c r="C478" s="19" t="s">
        <v>6</v>
      </c>
      <c r="D478" s="19" t="s">
        <v>153</v>
      </c>
      <c r="E478" s="19" t="s">
        <v>136</v>
      </c>
      <c r="F478" s="14"/>
      <c r="G478" s="15">
        <f>103.3-0.001-1.26-0.01-0.001</f>
        <v>102.02799999999998</v>
      </c>
      <c r="H478" s="15">
        <v>133.8</v>
      </c>
      <c r="I478" s="71">
        <v>133.8</v>
      </c>
      <c r="J478" s="32"/>
      <c r="K478" s="73"/>
    </row>
    <row r="479" spans="1:11" s="3" customFormat="1" ht="47.25">
      <c r="A479" s="54" t="s">
        <v>70</v>
      </c>
      <c r="B479" s="19" t="s">
        <v>33</v>
      </c>
      <c r="C479" s="19" t="s">
        <v>6</v>
      </c>
      <c r="D479" s="19" t="s">
        <v>153</v>
      </c>
      <c r="E479" s="38" t="s">
        <v>69</v>
      </c>
      <c r="F479" s="14">
        <f>F481</f>
        <v>6848</v>
      </c>
      <c r="G479" s="15">
        <f>65.6-49+1.26</f>
        <v>17.859999999999996</v>
      </c>
      <c r="H479" s="15">
        <f>120-103</f>
        <v>17</v>
      </c>
      <c r="I479" s="71">
        <f>100-83</f>
        <v>17</v>
      </c>
      <c r="J479" s="32"/>
      <c r="K479" s="73"/>
    </row>
    <row r="480" spans="1:11" s="3" customFormat="1" ht="31.5" hidden="1">
      <c r="A480" s="61" t="s">
        <v>71</v>
      </c>
      <c r="B480" s="19" t="s">
        <v>33</v>
      </c>
      <c r="C480" s="19" t="s">
        <v>6</v>
      </c>
      <c r="D480" s="19" t="s">
        <v>153</v>
      </c>
      <c r="E480" s="38" t="s">
        <v>73</v>
      </c>
      <c r="F480" s="14"/>
      <c r="G480" s="15"/>
      <c r="H480" s="15"/>
      <c r="I480" s="71"/>
      <c r="J480" s="32"/>
      <c r="K480" s="73"/>
    </row>
    <row r="481" spans="1:11" s="3" customFormat="1" ht="31.5" hidden="1">
      <c r="A481" s="61" t="s">
        <v>78</v>
      </c>
      <c r="B481" s="19" t="s">
        <v>33</v>
      </c>
      <c r="C481" s="19" t="s">
        <v>6</v>
      </c>
      <c r="D481" s="19" t="s">
        <v>153</v>
      </c>
      <c r="E481" s="38" t="s">
        <v>81</v>
      </c>
      <c r="F481" s="14">
        <f>6746+102</f>
        <v>6848</v>
      </c>
      <c r="G481" s="15"/>
      <c r="H481" s="15"/>
      <c r="I481" s="71"/>
      <c r="J481" s="32"/>
      <c r="K481" s="73"/>
    </row>
    <row r="482" spans="1:11" s="3" customFormat="1" ht="15.75">
      <c r="A482" s="61" t="s">
        <v>195</v>
      </c>
      <c r="B482" s="19" t="s">
        <v>33</v>
      </c>
      <c r="C482" s="19" t="s">
        <v>6</v>
      </c>
      <c r="D482" s="19" t="s">
        <v>153</v>
      </c>
      <c r="E482" s="38" t="s">
        <v>193</v>
      </c>
      <c r="F482" s="14"/>
      <c r="G482" s="15">
        <f>0.001+0.01+0.001</f>
        <v>0.012</v>
      </c>
      <c r="H482" s="15"/>
      <c r="I482" s="71"/>
      <c r="J482" s="32"/>
      <c r="K482" s="73"/>
    </row>
    <row r="483" spans="1:11" s="3" customFormat="1" ht="15.75">
      <c r="A483" s="61" t="s">
        <v>392</v>
      </c>
      <c r="B483" s="19" t="s">
        <v>33</v>
      </c>
      <c r="C483" s="19" t="s">
        <v>6</v>
      </c>
      <c r="D483" s="19" t="s">
        <v>153</v>
      </c>
      <c r="E483" s="38" t="s">
        <v>391</v>
      </c>
      <c r="F483" s="14"/>
      <c r="G483" s="15">
        <v>49</v>
      </c>
      <c r="H483" s="15">
        <v>103</v>
      </c>
      <c r="I483" s="71">
        <v>83</v>
      </c>
      <c r="J483" s="32"/>
      <c r="K483" s="73"/>
    </row>
    <row r="484" spans="1:11" s="3" customFormat="1" ht="126">
      <c r="A484" s="53" t="s">
        <v>267</v>
      </c>
      <c r="B484" s="19" t="s">
        <v>33</v>
      </c>
      <c r="C484" s="19" t="s">
        <v>6</v>
      </c>
      <c r="D484" s="19" t="s">
        <v>154</v>
      </c>
      <c r="E484" s="19"/>
      <c r="F484" s="14"/>
      <c r="G484" s="15">
        <f>G485</f>
        <v>3585.675</v>
      </c>
      <c r="H484" s="15">
        <f>H485</f>
        <v>4000</v>
      </c>
      <c r="I484" s="71">
        <f>I485</f>
        <v>4000</v>
      </c>
      <c r="J484" s="32"/>
      <c r="K484" s="73"/>
    </row>
    <row r="485" spans="1:11" s="3" customFormat="1" ht="31.5">
      <c r="A485" s="35" t="s">
        <v>99</v>
      </c>
      <c r="B485" s="19" t="s">
        <v>33</v>
      </c>
      <c r="C485" s="19" t="s">
        <v>6</v>
      </c>
      <c r="D485" s="19" t="s">
        <v>155</v>
      </c>
      <c r="E485" s="19"/>
      <c r="F485" s="14"/>
      <c r="G485" s="15">
        <f>G486+G487</f>
        <v>3585.675</v>
      </c>
      <c r="H485" s="15">
        <f>H486+H487</f>
        <v>4000</v>
      </c>
      <c r="I485" s="71">
        <f>I486+I487</f>
        <v>4000</v>
      </c>
      <c r="J485" s="32"/>
      <c r="K485" s="73"/>
    </row>
    <row r="486" spans="1:11" s="3" customFormat="1" ht="81" customHeight="1">
      <c r="A486" s="45" t="s">
        <v>79</v>
      </c>
      <c r="B486" s="19" t="s">
        <v>33</v>
      </c>
      <c r="C486" s="19" t="s">
        <v>6</v>
      </c>
      <c r="D486" s="19" t="s">
        <v>155</v>
      </c>
      <c r="E486" s="19" t="s">
        <v>58</v>
      </c>
      <c r="F486" s="14">
        <f>F488</f>
        <v>280</v>
      </c>
      <c r="G486" s="15">
        <f>3427.38-107.151-49.137+250</f>
        <v>3521.092</v>
      </c>
      <c r="H486" s="15">
        <v>4000</v>
      </c>
      <c r="I486" s="71">
        <v>4000</v>
      </c>
      <c r="J486" s="32"/>
      <c r="K486" s="73"/>
    </row>
    <row r="487" spans="1:11" s="3" customFormat="1" ht="31.5">
      <c r="A487" s="45" t="s">
        <v>60</v>
      </c>
      <c r="B487" s="19" t="s">
        <v>33</v>
      </c>
      <c r="C487" s="19" t="s">
        <v>6</v>
      </c>
      <c r="D487" s="19" t="s">
        <v>155</v>
      </c>
      <c r="E487" s="19" t="s">
        <v>59</v>
      </c>
      <c r="F487" s="14">
        <f>F488</f>
        <v>280</v>
      </c>
      <c r="G487" s="15">
        <f>8.956+5.305+1.185+49.137</f>
        <v>64.583</v>
      </c>
      <c r="H487" s="15"/>
      <c r="I487" s="71"/>
      <c r="J487" s="32"/>
      <c r="K487" s="73"/>
    </row>
    <row r="488" spans="1:11" s="3" customFormat="1" ht="63">
      <c r="A488" s="53" t="s">
        <v>266</v>
      </c>
      <c r="B488" s="19" t="s">
        <v>33</v>
      </c>
      <c r="C488" s="19" t="s">
        <v>6</v>
      </c>
      <c r="D488" s="19" t="s">
        <v>156</v>
      </c>
      <c r="E488" s="19"/>
      <c r="F488" s="14">
        <v>280</v>
      </c>
      <c r="G488" s="15">
        <f>G489</f>
        <v>1701.4</v>
      </c>
      <c r="H488" s="15">
        <f>H489</f>
        <v>1739.2</v>
      </c>
      <c r="I488" s="71">
        <f>I489</f>
        <v>1739.2</v>
      </c>
      <c r="J488" s="32"/>
      <c r="K488" s="73"/>
    </row>
    <row r="489" spans="1:11" s="3" customFormat="1" ht="31.5">
      <c r="A489" s="35" t="s">
        <v>203</v>
      </c>
      <c r="B489" s="19" t="s">
        <v>33</v>
      </c>
      <c r="C489" s="19" t="s">
        <v>6</v>
      </c>
      <c r="D489" s="19" t="s">
        <v>157</v>
      </c>
      <c r="E489" s="19"/>
      <c r="F489" s="14"/>
      <c r="G489" s="15">
        <f>G490+G491+G493+G495+G492+G494+G496</f>
        <v>1701.4</v>
      </c>
      <c r="H489" s="15">
        <f>H490+H491+H493+H495+H492+H494+H496</f>
        <v>1739.2</v>
      </c>
      <c r="I489" s="71">
        <f>I490+I491+I493+I495+I492+I494+I496</f>
        <v>1739.2</v>
      </c>
      <c r="J489" s="32"/>
      <c r="K489" s="73"/>
    </row>
    <row r="490" spans="1:11" s="3" customFormat="1" ht="15.75">
      <c r="A490" s="54" t="s">
        <v>172</v>
      </c>
      <c r="B490" s="19" t="s">
        <v>33</v>
      </c>
      <c r="C490" s="19" t="s">
        <v>6</v>
      </c>
      <c r="D490" s="19" t="s">
        <v>157</v>
      </c>
      <c r="E490" s="19" t="s">
        <v>80</v>
      </c>
      <c r="F490" s="14"/>
      <c r="G490" s="15">
        <f>1220.4+56</f>
        <v>1276.4</v>
      </c>
      <c r="H490" s="15">
        <v>1320.4</v>
      </c>
      <c r="I490" s="71">
        <v>1320.4</v>
      </c>
      <c r="J490" s="32"/>
      <c r="K490" s="73"/>
    </row>
    <row r="491" spans="1:11" s="3" customFormat="1" ht="47.25" hidden="1">
      <c r="A491" s="54" t="s">
        <v>77</v>
      </c>
      <c r="B491" s="19" t="s">
        <v>33</v>
      </c>
      <c r="C491" s="19" t="s">
        <v>6</v>
      </c>
      <c r="D491" s="19" t="s">
        <v>157</v>
      </c>
      <c r="E491" s="19" t="s">
        <v>61</v>
      </c>
      <c r="F491" s="14"/>
      <c r="G491" s="15"/>
      <c r="H491" s="15"/>
      <c r="I491" s="71"/>
      <c r="J491" s="32"/>
      <c r="K491" s="73"/>
    </row>
    <row r="492" spans="1:11" s="3" customFormat="1" ht="63">
      <c r="A492" s="97" t="s">
        <v>173</v>
      </c>
      <c r="B492" s="19" t="s">
        <v>33</v>
      </c>
      <c r="C492" s="19" t="s">
        <v>6</v>
      </c>
      <c r="D492" s="19" t="s">
        <v>157</v>
      </c>
      <c r="E492" s="19" t="s">
        <v>136</v>
      </c>
      <c r="F492" s="14"/>
      <c r="G492" s="15">
        <f>307.7-0.01+75</f>
        <v>382.69</v>
      </c>
      <c r="H492" s="15">
        <v>398.8</v>
      </c>
      <c r="I492" s="71">
        <v>398.8</v>
      </c>
      <c r="J492" s="32"/>
      <c r="K492" s="73"/>
    </row>
    <row r="493" spans="1:11" s="3" customFormat="1" ht="47.25">
      <c r="A493" s="54" t="s">
        <v>70</v>
      </c>
      <c r="B493" s="19" t="s">
        <v>33</v>
      </c>
      <c r="C493" s="19" t="s">
        <v>6</v>
      </c>
      <c r="D493" s="19" t="s">
        <v>157</v>
      </c>
      <c r="E493" s="38" t="s">
        <v>69</v>
      </c>
      <c r="F493" s="14"/>
      <c r="G493" s="15">
        <v>42.3</v>
      </c>
      <c r="H493" s="15">
        <v>20</v>
      </c>
      <c r="I493" s="71">
        <v>20</v>
      </c>
      <c r="J493" s="32"/>
      <c r="K493" s="73"/>
    </row>
    <row r="494" spans="1:11" s="3" customFormat="1" ht="47.25">
      <c r="A494" s="61" t="s">
        <v>95</v>
      </c>
      <c r="B494" s="19" t="s">
        <v>33</v>
      </c>
      <c r="C494" s="19" t="s">
        <v>6</v>
      </c>
      <c r="D494" s="19" t="s">
        <v>157</v>
      </c>
      <c r="E494" s="38" t="s">
        <v>94</v>
      </c>
      <c r="F494" s="14"/>
      <c r="G494" s="15"/>
      <c r="H494" s="15"/>
      <c r="I494" s="71"/>
      <c r="J494" s="32"/>
      <c r="K494" s="73"/>
    </row>
    <row r="495" spans="1:11" s="3" customFormat="1" ht="31.5">
      <c r="A495" s="61" t="s">
        <v>78</v>
      </c>
      <c r="B495" s="19" t="s">
        <v>33</v>
      </c>
      <c r="C495" s="19" t="s">
        <v>6</v>
      </c>
      <c r="D495" s="19" t="s">
        <v>157</v>
      </c>
      <c r="E495" s="38" t="s">
        <v>81</v>
      </c>
      <c r="F495" s="14"/>
      <c r="G495" s="15"/>
      <c r="H495" s="15"/>
      <c r="I495" s="71"/>
      <c r="J495" s="32"/>
      <c r="K495" s="73"/>
    </row>
    <row r="496" spans="1:11" s="3" customFormat="1" ht="15.75">
      <c r="A496" s="61" t="s">
        <v>195</v>
      </c>
      <c r="B496" s="19" t="s">
        <v>33</v>
      </c>
      <c r="C496" s="19" t="s">
        <v>6</v>
      </c>
      <c r="D496" s="19" t="s">
        <v>157</v>
      </c>
      <c r="E496" s="38" t="s">
        <v>193</v>
      </c>
      <c r="F496" s="14"/>
      <c r="G496" s="15">
        <v>0.01</v>
      </c>
      <c r="H496" s="15"/>
      <c r="I496" s="71"/>
      <c r="J496" s="32"/>
      <c r="K496" s="73"/>
    </row>
    <row r="497" spans="1:11" s="3" customFormat="1" ht="31.5">
      <c r="A497" s="54" t="s">
        <v>72</v>
      </c>
      <c r="B497" s="24" t="s">
        <v>33</v>
      </c>
      <c r="C497" s="24" t="s">
        <v>6</v>
      </c>
      <c r="D497" s="24" t="s">
        <v>109</v>
      </c>
      <c r="E497" s="19"/>
      <c r="F497" s="14"/>
      <c r="G497" s="15">
        <f>G498</f>
        <v>964.6</v>
      </c>
      <c r="H497" s="15">
        <f>H498</f>
        <v>0</v>
      </c>
      <c r="I497" s="71">
        <f>I498</f>
        <v>0</v>
      </c>
      <c r="J497" s="32"/>
      <c r="K497" s="73"/>
    </row>
    <row r="498" spans="1:11" s="3" customFormat="1" ht="110.25">
      <c r="A498" s="36" t="s">
        <v>182</v>
      </c>
      <c r="B498" s="19" t="s">
        <v>33</v>
      </c>
      <c r="C498" s="19" t="s">
        <v>6</v>
      </c>
      <c r="D498" s="19" t="s">
        <v>181</v>
      </c>
      <c r="E498" s="19"/>
      <c r="F498" s="14"/>
      <c r="G498" s="15">
        <f>G499+G500</f>
        <v>964.6</v>
      </c>
      <c r="H498" s="15">
        <f>H500</f>
        <v>0</v>
      </c>
      <c r="I498" s="71">
        <f>I500</f>
        <v>0</v>
      </c>
      <c r="J498" s="32"/>
      <c r="K498" s="73"/>
    </row>
    <row r="499" spans="1:11" s="3" customFormat="1" ht="47.25">
      <c r="A499" s="36" t="s">
        <v>70</v>
      </c>
      <c r="B499" s="19" t="s">
        <v>33</v>
      </c>
      <c r="C499" s="19" t="s">
        <v>6</v>
      </c>
      <c r="D499" s="19" t="s">
        <v>181</v>
      </c>
      <c r="E499" s="19" t="s">
        <v>69</v>
      </c>
      <c r="F499" s="14"/>
      <c r="G499" s="15">
        <v>130</v>
      </c>
      <c r="H499" s="15"/>
      <c r="I499" s="71"/>
      <c r="J499" s="32"/>
      <c r="K499" s="73"/>
    </row>
    <row r="500" spans="1:11" s="3" customFormat="1" ht="47.25">
      <c r="A500" s="54" t="s">
        <v>70</v>
      </c>
      <c r="B500" s="19" t="s">
        <v>33</v>
      </c>
      <c r="C500" s="19" t="s">
        <v>6</v>
      </c>
      <c r="D500" s="19" t="s">
        <v>181</v>
      </c>
      <c r="E500" s="19" t="s">
        <v>59</v>
      </c>
      <c r="F500" s="14"/>
      <c r="G500" s="15">
        <v>834.6</v>
      </c>
      <c r="H500" s="15"/>
      <c r="I500" s="71"/>
      <c r="J500" s="32"/>
      <c r="K500" s="73"/>
    </row>
    <row r="501" spans="1:11" s="40" customFormat="1" ht="15.75">
      <c r="A501" s="98" t="s">
        <v>38</v>
      </c>
      <c r="B501" s="9" t="s">
        <v>37</v>
      </c>
      <c r="C501" s="9"/>
      <c r="D501" s="9"/>
      <c r="E501" s="9"/>
      <c r="F501" s="11" t="e">
        <f>F506+F517+#REF!</f>
        <v>#REF!</v>
      </c>
      <c r="G501" s="12">
        <f>G502+G506+G517+G525</f>
        <v>28509.21</v>
      </c>
      <c r="H501" s="12">
        <f>H502+H506+H517+H525</f>
        <v>28182.600000000002</v>
      </c>
      <c r="I501" s="66">
        <f>I502+I506+I517+I525</f>
        <v>28274.3</v>
      </c>
      <c r="J501" s="74"/>
      <c r="K501" s="73"/>
    </row>
    <row r="502" spans="1:11" s="40" customFormat="1" ht="15.75">
      <c r="A502" s="59" t="s">
        <v>48</v>
      </c>
      <c r="B502" s="13" t="s">
        <v>37</v>
      </c>
      <c r="C502" s="13" t="s">
        <v>6</v>
      </c>
      <c r="D502" s="13"/>
      <c r="E502" s="13"/>
      <c r="F502" s="11" t="e">
        <f>F505+#REF!+#REF!+#REF!+#REF!+#REF!</f>
        <v>#REF!</v>
      </c>
      <c r="G502" s="12">
        <f aca="true" t="shared" si="23" ref="G502:I504">G503</f>
        <v>975</v>
      </c>
      <c r="H502" s="12">
        <f t="shared" si="23"/>
        <v>975</v>
      </c>
      <c r="I502" s="66">
        <f t="shared" si="23"/>
        <v>975</v>
      </c>
      <c r="J502" s="74"/>
      <c r="K502" s="73"/>
    </row>
    <row r="503" spans="1:11" s="40" customFormat="1" ht="31.5">
      <c r="A503" s="54" t="s">
        <v>72</v>
      </c>
      <c r="B503" s="24" t="s">
        <v>37</v>
      </c>
      <c r="C503" s="24" t="s">
        <v>6</v>
      </c>
      <c r="D503" s="24" t="s">
        <v>109</v>
      </c>
      <c r="E503" s="24"/>
      <c r="F503" s="11"/>
      <c r="G503" s="26">
        <f t="shared" si="23"/>
        <v>975</v>
      </c>
      <c r="H503" s="26">
        <f t="shared" si="23"/>
        <v>975</v>
      </c>
      <c r="I503" s="68">
        <f t="shared" si="23"/>
        <v>975</v>
      </c>
      <c r="J503" s="74"/>
      <c r="K503" s="73"/>
    </row>
    <row r="504" spans="1:11" s="3" customFormat="1" ht="47.25">
      <c r="A504" s="36" t="s">
        <v>47</v>
      </c>
      <c r="B504" s="24" t="s">
        <v>37</v>
      </c>
      <c r="C504" s="24" t="s">
        <v>6</v>
      </c>
      <c r="D504" s="10" t="s">
        <v>158</v>
      </c>
      <c r="E504" s="10"/>
      <c r="F504" s="14">
        <f>F505</f>
        <v>3536</v>
      </c>
      <c r="G504" s="15">
        <f t="shared" si="23"/>
        <v>975</v>
      </c>
      <c r="H504" s="15">
        <f t="shared" si="23"/>
        <v>975</v>
      </c>
      <c r="I504" s="71">
        <f t="shared" si="23"/>
        <v>975</v>
      </c>
      <c r="J504" s="32"/>
      <c r="K504" s="73"/>
    </row>
    <row r="505" spans="1:11" s="3" customFormat="1" ht="31.5">
      <c r="A505" s="35" t="s">
        <v>88</v>
      </c>
      <c r="B505" s="24" t="s">
        <v>37</v>
      </c>
      <c r="C505" s="24" t="s">
        <v>6</v>
      </c>
      <c r="D505" s="10" t="s">
        <v>158</v>
      </c>
      <c r="E505" s="10" t="s">
        <v>89</v>
      </c>
      <c r="F505" s="14">
        <v>3536</v>
      </c>
      <c r="G505" s="15">
        <v>975</v>
      </c>
      <c r="H505" s="15">
        <v>975</v>
      </c>
      <c r="I505" s="71">
        <v>975</v>
      </c>
      <c r="J505" s="32"/>
      <c r="K505" s="73"/>
    </row>
    <row r="506" spans="1:11" s="40" customFormat="1" ht="15.75">
      <c r="A506" s="43" t="s">
        <v>39</v>
      </c>
      <c r="B506" s="13" t="s">
        <v>37</v>
      </c>
      <c r="C506" s="13" t="s">
        <v>9</v>
      </c>
      <c r="D506" s="13"/>
      <c r="E506" s="13"/>
      <c r="F506" s="11" t="e">
        <f>#REF!+#REF!+#REF!+#REF!+#REF!+#REF!</f>
        <v>#REF!</v>
      </c>
      <c r="G506" s="12">
        <f>G507</f>
        <v>17239.822</v>
      </c>
      <c r="H506" s="12">
        <f>H507</f>
        <v>17094.022</v>
      </c>
      <c r="I506" s="66">
        <f>I507</f>
        <v>17179.022</v>
      </c>
      <c r="J506" s="74"/>
      <c r="K506" s="73"/>
    </row>
    <row r="507" spans="1:11" s="3" customFormat="1" ht="31.5">
      <c r="A507" s="54" t="s">
        <v>72</v>
      </c>
      <c r="B507" s="24" t="s">
        <v>37</v>
      </c>
      <c r="C507" s="24" t="s">
        <v>9</v>
      </c>
      <c r="D507" s="24" t="s">
        <v>109</v>
      </c>
      <c r="E507" s="24"/>
      <c r="F507" s="14"/>
      <c r="G507" s="15">
        <f>G510+G512+G508+G515</f>
        <v>17239.822</v>
      </c>
      <c r="H507" s="15">
        <f>H510+H512+H508+H515</f>
        <v>17094.022</v>
      </c>
      <c r="I507" s="71">
        <f>I510+I512+I508+I515</f>
        <v>17179.022</v>
      </c>
      <c r="J507" s="32"/>
      <c r="K507" s="73"/>
    </row>
    <row r="508" spans="1:11" s="40" customFormat="1" ht="110.25">
      <c r="A508" s="35" t="s">
        <v>258</v>
      </c>
      <c r="B508" s="23" t="s">
        <v>37</v>
      </c>
      <c r="C508" s="23" t="s">
        <v>9</v>
      </c>
      <c r="D508" s="23" t="s">
        <v>159</v>
      </c>
      <c r="E508" s="23"/>
      <c r="F508" s="28"/>
      <c r="G508" s="26">
        <f>G509</f>
        <v>2396.3</v>
      </c>
      <c r="H508" s="26">
        <f>H509</f>
        <v>2118.2</v>
      </c>
      <c r="I508" s="68">
        <f>I509</f>
        <v>2203.2</v>
      </c>
      <c r="J508" s="74"/>
      <c r="K508" s="73"/>
    </row>
    <row r="509" spans="1:11" s="40" customFormat="1" ht="47.25">
      <c r="A509" s="45" t="s">
        <v>90</v>
      </c>
      <c r="B509" s="23" t="s">
        <v>37</v>
      </c>
      <c r="C509" s="23" t="s">
        <v>9</v>
      </c>
      <c r="D509" s="23" t="s">
        <v>159</v>
      </c>
      <c r="E509" s="23" t="s">
        <v>91</v>
      </c>
      <c r="F509" s="28"/>
      <c r="G509" s="26">
        <v>2396.3</v>
      </c>
      <c r="H509" s="26">
        <v>2118.2</v>
      </c>
      <c r="I509" s="68">
        <v>2203.2</v>
      </c>
      <c r="J509" s="74"/>
      <c r="K509" s="73"/>
    </row>
    <row r="510" spans="1:11" s="3" customFormat="1" ht="141.75">
      <c r="A510" s="36" t="s">
        <v>259</v>
      </c>
      <c r="B510" s="24" t="s">
        <v>37</v>
      </c>
      <c r="C510" s="24" t="s">
        <v>9</v>
      </c>
      <c r="D510" s="24" t="s">
        <v>160</v>
      </c>
      <c r="E510" s="24"/>
      <c r="F510" s="14">
        <f>F511</f>
        <v>3536</v>
      </c>
      <c r="G510" s="15">
        <f>G511</f>
        <v>431.2</v>
      </c>
      <c r="H510" s="15">
        <f>H511</f>
        <v>431.2</v>
      </c>
      <c r="I510" s="71">
        <f>I511</f>
        <v>431.2</v>
      </c>
      <c r="J510" s="32"/>
      <c r="K510" s="73"/>
    </row>
    <row r="511" spans="1:11" s="3" customFormat="1" ht="47.25">
      <c r="A511" s="36" t="s">
        <v>90</v>
      </c>
      <c r="B511" s="24" t="s">
        <v>37</v>
      </c>
      <c r="C511" s="24" t="s">
        <v>9</v>
      </c>
      <c r="D511" s="24" t="s">
        <v>160</v>
      </c>
      <c r="E511" s="24" t="s">
        <v>91</v>
      </c>
      <c r="F511" s="14">
        <v>3536</v>
      </c>
      <c r="G511" s="15">
        <v>431.2</v>
      </c>
      <c r="H511" s="15">
        <v>431.2</v>
      </c>
      <c r="I511" s="71">
        <v>431.2</v>
      </c>
      <c r="J511" s="32"/>
      <c r="K511" s="73"/>
    </row>
    <row r="512" spans="1:11" s="3" customFormat="1" ht="37.5" customHeight="1">
      <c r="A512" s="36" t="s">
        <v>260</v>
      </c>
      <c r="B512" s="24" t="s">
        <v>37</v>
      </c>
      <c r="C512" s="24" t="s">
        <v>9</v>
      </c>
      <c r="D512" s="24" t="s">
        <v>161</v>
      </c>
      <c r="E512" s="24"/>
      <c r="F512" s="14"/>
      <c r="G512" s="15">
        <f>G514+G513</f>
        <v>14412.322</v>
      </c>
      <c r="H512" s="15">
        <f>H514+H513</f>
        <v>14544.622</v>
      </c>
      <c r="I512" s="15">
        <f>I514+I513</f>
        <v>14544.622</v>
      </c>
      <c r="J512" s="32"/>
      <c r="K512" s="73"/>
    </row>
    <row r="513" spans="1:11" s="3" customFormat="1" ht="48.75" customHeight="1">
      <c r="A513" s="54" t="s">
        <v>70</v>
      </c>
      <c r="B513" s="24" t="s">
        <v>37</v>
      </c>
      <c r="C513" s="24" t="s">
        <v>9</v>
      </c>
      <c r="D513" s="24" t="s">
        <v>161</v>
      </c>
      <c r="E513" s="24" t="s">
        <v>69</v>
      </c>
      <c r="F513" s="14"/>
      <c r="G513" s="26">
        <v>214.622</v>
      </c>
      <c r="H513" s="15"/>
      <c r="I513" s="71"/>
      <c r="J513" s="32"/>
      <c r="K513" s="73"/>
    </row>
    <row r="514" spans="1:11" s="3" customFormat="1" ht="47.25">
      <c r="A514" s="36" t="s">
        <v>90</v>
      </c>
      <c r="B514" s="24" t="s">
        <v>37</v>
      </c>
      <c r="C514" s="24" t="s">
        <v>9</v>
      </c>
      <c r="D514" s="24" t="s">
        <v>161</v>
      </c>
      <c r="E514" s="24" t="s">
        <v>91</v>
      </c>
      <c r="F514" s="14"/>
      <c r="G514" s="26">
        <f>14330-132.3</f>
        <v>14197.7</v>
      </c>
      <c r="H514" s="26">
        <v>14544.622</v>
      </c>
      <c r="I514" s="68">
        <v>14544.622</v>
      </c>
      <c r="J514" s="32"/>
      <c r="K514" s="73"/>
    </row>
    <row r="515" spans="1:11" s="3" customFormat="1" ht="31.5" hidden="1">
      <c r="A515" s="45" t="s">
        <v>162</v>
      </c>
      <c r="B515" s="24" t="s">
        <v>37</v>
      </c>
      <c r="C515" s="24" t="s">
        <v>9</v>
      </c>
      <c r="D515" s="24" t="s">
        <v>163</v>
      </c>
      <c r="E515" s="24"/>
      <c r="F515" s="14"/>
      <c r="G515" s="15">
        <f>G516</f>
        <v>0</v>
      </c>
      <c r="H515" s="15">
        <f>H516</f>
        <v>0</v>
      </c>
      <c r="I515" s="71">
        <f>I516</f>
        <v>0</v>
      </c>
      <c r="J515" s="32"/>
      <c r="K515" s="73"/>
    </row>
    <row r="516" spans="1:11" s="3" customFormat="1" ht="47.25" hidden="1">
      <c r="A516" s="45" t="s">
        <v>95</v>
      </c>
      <c r="B516" s="24" t="s">
        <v>37</v>
      </c>
      <c r="C516" s="24" t="s">
        <v>9</v>
      </c>
      <c r="D516" s="24" t="s">
        <v>163</v>
      </c>
      <c r="E516" s="24" t="s">
        <v>94</v>
      </c>
      <c r="F516" s="14"/>
      <c r="G516" s="15"/>
      <c r="H516" s="15"/>
      <c r="I516" s="71"/>
      <c r="J516" s="32"/>
      <c r="K516" s="73"/>
    </row>
    <row r="517" spans="1:11" s="3" customFormat="1" ht="15.75">
      <c r="A517" s="98" t="s">
        <v>44</v>
      </c>
      <c r="B517" s="9" t="s">
        <v>37</v>
      </c>
      <c r="C517" s="9" t="s">
        <v>11</v>
      </c>
      <c r="D517" s="9"/>
      <c r="E517" s="9"/>
      <c r="F517" s="11" t="e">
        <f>F519+#REF!</f>
        <v>#REF!</v>
      </c>
      <c r="G517" s="12">
        <f>G518</f>
        <v>8732.5</v>
      </c>
      <c r="H517" s="12">
        <f>H518</f>
        <v>8677.699999999999</v>
      </c>
      <c r="I517" s="66">
        <f>I518</f>
        <v>8694.4</v>
      </c>
      <c r="J517" s="32"/>
      <c r="K517" s="73"/>
    </row>
    <row r="518" spans="1:11" s="3" customFormat="1" ht="31.5">
      <c r="A518" s="54" t="s">
        <v>72</v>
      </c>
      <c r="B518" s="19" t="s">
        <v>37</v>
      </c>
      <c r="C518" s="19" t="s">
        <v>11</v>
      </c>
      <c r="D518" s="19" t="s">
        <v>109</v>
      </c>
      <c r="E518" s="19"/>
      <c r="F518" s="14"/>
      <c r="G518" s="15">
        <f>G521+G523+G519</f>
        <v>8732.5</v>
      </c>
      <c r="H518" s="15">
        <f>H521+H523+H519</f>
        <v>8677.699999999999</v>
      </c>
      <c r="I518" s="71">
        <f>I521+I523+I519</f>
        <v>8694.4</v>
      </c>
      <c r="J518" s="32"/>
      <c r="K518" s="73"/>
    </row>
    <row r="519" spans="1:11" s="3" customFormat="1" ht="110.25">
      <c r="A519" s="35" t="s">
        <v>261</v>
      </c>
      <c r="B519" s="19" t="s">
        <v>37</v>
      </c>
      <c r="C519" s="19" t="s">
        <v>11</v>
      </c>
      <c r="D519" s="19" t="s">
        <v>164</v>
      </c>
      <c r="E519" s="19"/>
      <c r="F519" s="14">
        <f>F520</f>
        <v>2455</v>
      </c>
      <c r="G519" s="15">
        <f>G520</f>
        <v>472.6</v>
      </c>
      <c r="H519" s="15">
        <f>H520</f>
        <v>417.8</v>
      </c>
      <c r="I519" s="71">
        <f>I520</f>
        <v>434.5</v>
      </c>
      <c r="J519" s="32"/>
      <c r="K519" s="73"/>
    </row>
    <row r="520" spans="1:11" s="3" customFormat="1" ht="47.25">
      <c r="A520" s="45" t="s">
        <v>90</v>
      </c>
      <c r="B520" s="19" t="s">
        <v>37</v>
      </c>
      <c r="C520" s="19" t="s">
        <v>11</v>
      </c>
      <c r="D520" s="19" t="s">
        <v>164</v>
      </c>
      <c r="E520" s="19" t="s">
        <v>91</v>
      </c>
      <c r="F520" s="14">
        <v>2455</v>
      </c>
      <c r="G520" s="15">
        <v>472.6</v>
      </c>
      <c r="H520" s="15">
        <v>417.8</v>
      </c>
      <c r="I520" s="71">
        <v>434.5</v>
      </c>
      <c r="J520" s="32"/>
      <c r="K520" s="73"/>
    </row>
    <row r="521" spans="1:11" s="3" customFormat="1" ht="31.5">
      <c r="A521" s="35" t="s">
        <v>262</v>
      </c>
      <c r="B521" s="19" t="s">
        <v>37</v>
      </c>
      <c r="C521" s="19" t="s">
        <v>11</v>
      </c>
      <c r="D521" s="19" t="s">
        <v>165</v>
      </c>
      <c r="E521" s="19"/>
      <c r="F521" s="14" t="e">
        <f>#REF!</f>
        <v>#REF!</v>
      </c>
      <c r="G521" s="15">
        <f>G522</f>
        <v>6037</v>
      </c>
      <c r="H521" s="15">
        <f>H522</f>
        <v>6037</v>
      </c>
      <c r="I521" s="71">
        <f>I522</f>
        <v>6037</v>
      </c>
      <c r="J521" s="32"/>
      <c r="K521" s="73"/>
    </row>
    <row r="522" spans="1:11" s="3" customFormat="1" ht="47.25">
      <c r="A522" s="45" t="s">
        <v>90</v>
      </c>
      <c r="B522" s="19" t="s">
        <v>37</v>
      </c>
      <c r="C522" s="19" t="s">
        <v>11</v>
      </c>
      <c r="D522" s="19" t="s">
        <v>165</v>
      </c>
      <c r="E522" s="19" t="s">
        <v>91</v>
      </c>
      <c r="F522" s="14"/>
      <c r="G522" s="15">
        <v>6037</v>
      </c>
      <c r="H522" s="15">
        <v>6037</v>
      </c>
      <c r="I522" s="71">
        <v>6037</v>
      </c>
      <c r="J522" s="32"/>
      <c r="K522" s="73"/>
    </row>
    <row r="523" spans="1:11" s="3" customFormat="1" ht="63">
      <c r="A523" s="44" t="s">
        <v>263</v>
      </c>
      <c r="B523" s="19" t="s">
        <v>37</v>
      </c>
      <c r="C523" s="19" t="s">
        <v>11</v>
      </c>
      <c r="D523" s="19" t="s">
        <v>166</v>
      </c>
      <c r="E523" s="19"/>
      <c r="F523" s="14">
        <v>2455</v>
      </c>
      <c r="G523" s="15">
        <f>G524</f>
        <v>2222.9</v>
      </c>
      <c r="H523" s="15">
        <f>H524</f>
        <v>2222.9</v>
      </c>
      <c r="I523" s="15">
        <f>I524</f>
        <v>2222.9</v>
      </c>
      <c r="J523" s="32"/>
      <c r="K523" s="73"/>
    </row>
    <row r="524" spans="1:11" s="3" customFormat="1" ht="47.25">
      <c r="A524" s="54" t="s">
        <v>70</v>
      </c>
      <c r="B524" s="19" t="s">
        <v>37</v>
      </c>
      <c r="C524" s="19" t="s">
        <v>11</v>
      </c>
      <c r="D524" s="19" t="s">
        <v>166</v>
      </c>
      <c r="E524" s="19" t="s">
        <v>206</v>
      </c>
      <c r="F524" s="14" t="e">
        <f>#REF!</f>
        <v>#REF!</v>
      </c>
      <c r="G524" s="15">
        <v>2222.9</v>
      </c>
      <c r="H524" s="15">
        <v>2222.9</v>
      </c>
      <c r="I524" s="71">
        <v>2222.9</v>
      </c>
      <c r="J524" s="32"/>
      <c r="K524" s="73"/>
    </row>
    <row r="525" spans="1:11" s="40" customFormat="1" ht="31.5">
      <c r="A525" s="59" t="s">
        <v>227</v>
      </c>
      <c r="B525" s="27" t="s">
        <v>37</v>
      </c>
      <c r="C525" s="27" t="s">
        <v>26</v>
      </c>
      <c r="D525" s="27"/>
      <c r="E525" s="27"/>
      <c r="F525" s="28"/>
      <c r="G525" s="29">
        <f>G531+G526</f>
        <v>1561.888</v>
      </c>
      <c r="H525" s="29">
        <f>H531+H526</f>
        <v>1435.878</v>
      </c>
      <c r="I525" s="67">
        <f>I531+I526</f>
        <v>1425.878</v>
      </c>
      <c r="J525" s="74"/>
      <c r="K525" s="73"/>
    </row>
    <row r="526" spans="1:11" s="40" customFormat="1" ht="78.75">
      <c r="A526" s="43" t="s">
        <v>283</v>
      </c>
      <c r="B526" s="10" t="s">
        <v>37</v>
      </c>
      <c r="C526" s="10" t="s">
        <v>26</v>
      </c>
      <c r="D526" s="19" t="s">
        <v>111</v>
      </c>
      <c r="E526" s="19"/>
      <c r="F526" s="28"/>
      <c r="G526" s="26">
        <f aca="true" t="shared" si="24" ref="G526:I529">G527</f>
        <v>3.71</v>
      </c>
      <c r="H526" s="26">
        <f t="shared" si="24"/>
        <v>10</v>
      </c>
      <c r="I526" s="68">
        <f t="shared" si="24"/>
        <v>0</v>
      </c>
      <c r="J526" s="74"/>
      <c r="K526" s="73"/>
    </row>
    <row r="527" spans="1:11" s="40" customFormat="1" ht="78.75">
      <c r="A527" s="61" t="s">
        <v>310</v>
      </c>
      <c r="B527" s="10" t="s">
        <v>37</v>
      </c>
      <c r="C527" s="10" t="s">
        <v>26</v>
      </c>
      <c r="D527" s="19" t="s">
        <v>307</v>
      </c>
      <c r="E527" s="19"/>
      <c r="F527" s="28"/>
      <c r="G527" s="26">
        <f t="shared" si="24"/>
        <v>3.71</v>
      </c>
      <c r="H527" s="26">
        <f t="shared" si="24"/>
        <v>10</v>
      </c>
      <c r="I527" s="68">
        <f t="shared" si="24"/>
        <v>0</v>
      </c>
      <c r="J527" s="74"/>
      <c r="K527" s="73"/>
    </row>
    <row r="528" spans="1:11" s="40" customFormat="1" ht="78.75">
      <c r="A528" s="61" t="s">
        <v>311</v>
      </c>
      <c r="B528" s="10" t="s">
        <v>37</v>
      </c>
      <c r="C528" s="10" t="s">
        <v>26</v>
      </c>
      <c r="D528" s="19" t="s">
        <v>308</v>
      </c>
      <c r="E528" s="19"/>
      <c r="F528" s="28"/>
      <c r="G528" s="26">
        <f t="shared" si="24"/>
        <v>3.71</v>
      </c>
      <c r="H528" s="26">
        <f t="shared" si="24"/>
        <v>10</v>
      </c>
      <c r="I528" s="68">
        <f t="shared" si="24"/>
        <v>0</v>
      </c>
      <c r="J528" s="74"/>
      <c r="K528" s="73"/>
    </row>
    <row r="529" spans="1:11" s="40" customFormat="1" ht="31.5">
      <c r="A529" s="61" t="s">
        <v>74</v>
      </c>
      <c r="B529" s="10" t="s">
        <v>37</v>
      </c>
      <c r="C529" s="10" t="s">
        <v>26</v>
      </c>
      <c r="D529" s="19" t="s">
        <v>309</v>
      </c>
      <c r="E529" s="19"/>
      <c r="F529" s="28"/>
      <c r="G529" s="26">
        <f t="shared" si="24"/>
        <v>3.71</v>
      </c>
      <c r="H529" s="26">
        <f t="shared" si="24"/>
        <v>10</v>
      </c>
      <c r="I529" s="68">
        <f t="shared" si="24"/>
        <v>0</v>
      </c>
      <c r="J529" s="74"/>
      <c r="K529" s="73"/>
    </row>
    <row r="530" spans="1:11" s="40" customFormat="1" ht="47.25">
      <c r="A530" s="54" t="s">
        <v>70</v>
      </c>
      <c r="B530" s="10" t="s">
        <v>37</v>
      </c>
      <c r="C530" s="10" t="s">
        <v>26</v>
      </c>
      <c r="D530" s="19" t="s">
        <v>309</v>
      </c>
      <c r="E530" s="19" t="s">
        <v>69</v>
      </c>
      <c r="F530" s="28"/>
      <c r="G530" s="26">
        <f>3.71</f>
        <v>3.71</v>
      </c>
      <c r="H530" s="26">
        <v>10</v>
      </c>
      <c r="I530" s="68"/>
      <c r="J530" s="74"/>
      <c r="K530" s="73"/>
    </row>
    <row r="531" spans="1:11" s="3" customFormat="1" ht="31.5">
      <c r="A531" s="36" t="s">
        <v>260</v>
      </c>
      <c r="B531" s="24" t="s">
        <v>37</v>
      </c>
      <c r="C531" s="24" t="s">
        <v>26</v>
      </c>
      <c r="D531" s="24" t="s">
        <v>161</v>
      </c>
      <c r="E531" s="24"/>
      <c r="F531" s="14"/>
      <c r="G531" s="15">
        <f>G532+G533+G534+G535</f>
        <v>1558.1779999999999</v>
      </c>
      <c r="H531" s="15">
        <f>H532+H533+H534+H535</f>
        <v>1425.878</v>
      </c>
      <c r="I531" s="71">
        <f>I532+I533+I534+I535</f>
        <v>1425.878</v>
      </c>
      <c r="J531" s="32"/>
      <c r="K531" s="73"/>
    </row>
    <row r="532" spans="1:11" s="3" customFormat="1" ht="31.5">
      <c r="A532" s="36" t="s">
        <v>132</v>
      </c>
      <c r="B532" s="24" t="s">
        <v>37</v>
      </c>
      <c r="C532" s="24" t="s">
        <v>26</v>
      </c>
      <c r="D532" s="24" t="s">
        <v>161</v>
      </c>
      <c r="E532" s="24" t="s">
        <v>64</v>
      </c>
      <c r="F532" s="14"/>
      <c r="G532" s="15">
        <f>900+132.3</f>
        <v>1032.3</v>
      </c>
      <c r="H532" s="15">
        <v>1425.878</v>
      </c>
      <c r="I532" s="71">
        <v>1425.878</v>
      </c>
      <c r="J532" s="32"/>
      <c r="K532" s="73"/>
    </row>
    <row r="533" spans="1:11" s="3" customFormat="1" ht="45.75" customHeight="1" hidden="1">
      <c r="A533" s="36" t="s">
        <v>66</v>
      </c>
      <c r="B533" s="24" t="s">
        <v>37</v>
      </c>
      <c r="C533" s="24" t="s">
        <v>9</v>
      </c>
      <c r="D533" s="24" t="s">
        <v>161</v>
      </c>
      <c r="E533" s="24" t="s">
        <v>68</v>
      </c>
      <c r="F533" s="14"/>
      <c r="G533" s="15"/>
      <c r="H533" s="15"/>
      <c r="I533" s="71"/>
      <c r="J533" s="32"/>
      <c r="K533" s="73"/>
    </row>
    <row r="534" spans="1:11" s="3" customFormat="1" ht="63.75" customHeight="1">
      <c r="A534" s="36" t="s">
        <v>134</v>
      </c>
      <c r="B534" s="24" t="s">
        <v>37</v>
      </c>
      <c r="C534" s="24" t="s">
        <v>26</v>
      </c>
      <c r="D534" s="24" t="s">
        <v>161</v>
      </c>
      <c r="E534" s="24" t="s">
        <v>133</v>
      </c>
      <c r="F534" s="14"/>
      <c r="G534" s="15">
        <v>271.8</v>
      </c>
      <c r="H534" s="15"/>
      <c r="I534" s="71"/>
      <c r="J534" s="32"/>
      <c r="K534" s="73"/>
    </row>
    <row r="535" spans="1:11" s="3" customFormat="1" ht="47.25">
      <c r="A535" s="54" t="s">
        <v>70</v>
      </c>
      <c r="B535" s="24" t="s">
        <v>37</v>
      </c>
      <c r="C535" s="24" t="s">
        <v>26</v>
      </c>
      <c r="D535" s="24" t="s">
        <v>161</v>
      </c>
      <c r="E535" s="24" t="s">
        <v>69</v>
      </c>
      <c r="F535" s="14"/>
      <c r="G535" s="15">
        <v>254.078</v>
      </c>
      <c r="H535" s="15"/>
      <c r="I535" s="71"/>
      <c r="J535" s="32"/>
      <c r="K535" s="73"/>
    </row>
    <row r="536" spans="1:11" s="40" customFormat="1" ht="15.75">
      <c r="A536" s="43" t="s">
        <v>36</v>
      </c>
      <c r="B536" s="13" t="s">
        <v>13</v>
      </c>
      <c r="C536" s="13"/>
      <c r="D536" s="13"/>
      <c r="E536" s="13"/>
      <c r="F536" s="11" t="e">
        <f>F537+#REF!+#REF!</f>
        <v>#REF!</v>
      </c>
      <c r="G536" s="12">
        <f aca="true" t="shared" si="25" ref="G536:I538">G537</f>
        <v>983.442</v>
      </c>
      <c r="H536" s="12">
        <f t="shared" si="25"/>
        <v>200</v>
      </c>
      <c r="I536" s="66">
        <f t="shared" si="25"/>
        <v>200</v>
      </c>
      <c r="J536" s="74"/>
      <c r="K536" s="73"/>
    </row>
    <row r="537" spans="1:11" s="40" customFormat="1" ht="19.5" customHeight="1">
      <c r="A537" s="43" t="s">
        <v>36</v>
      </c>
      <c r="B537" s="13" t="s">
        <v>13</v>
      </c>
      <c r="C537" s="13" t="s">
        <v>6</v>
      </c>
      <c r="D537" s="13"/>
      <c r="E537" s="13"/>
      <c r="F537" s="11" t="e">
        <f>F538+#REF!</f>
        <v>#REF!</v>
      </c>
      <c r="G537" s="12">
        <f>G538+G546</f>
        <v>983.442</v>
      </c>
      <c r="H537" s="12">
        <f t="shared" si="25"/>
        <v>200</v>
      </c>
      <c r="I537" s="66">
        <f t="shared" si="25"/>
        <v>200</v>
      </c>
      <c r="J537" s="74"/>
      <c r="K537" s="73"/>
    </row>
    <row r="538" spans="1:11" s="3" customFormat="1" ht="47.25">
      <c r="A538" s="55" t="s">
        <v>265</v>
      </c>
      <c r="B538" s="19" t="s">
        <v>13</v>
      </c>
      <c r="C538" s="19" t="s">
        <v>6</v>
      </c>
      <c r="D538" s="19" t="s">
        <v>167</v>
      </c>
      <c r="E538" s="19"/>
      <c r="F538" s="14" t="e">
        <f>#REF!</f>
        <v>#REF!</v>
      </c>
      <c r="G538" s="15">
        <f>G539+G540</f>
        <v>790.442</v>
      </c>
      <c r="H538" s="15">
        <f t="shared" si="25"/>
        <v>200</v>
      </c>
      <c r="I538" s="71">
        <f t="shared" si="25"/>
        <v>200</v>
      </c>
      <c r="J538" s="32"/>
      <c r="K538" s="73"/>
    </row>
    <row r="539" spans="1:11" s="3" customFormat="1" ht="31.5">
      <c r="A539" s="104" t="s">
        <v>92</v>
      </c>
      <c r="B539" s="19" t="s">
        <v>13</v>
      </c>
      <c r="C539" s="19" t="s">
        <v>6</v>
      </c>
      <c r="D539" s="19" t="s">
        <v>168</v>
      </c>
      <c r="E539" s="19"/>
      <c r="F539" s="14" t="e">
        <f>#REF!</f>
        <v>#REF!</v>
      </c>
      <c r="G539" s="15">
        <f>G544+G542+G545+G543</f>
        <v>205.04200000000003</v>
      </c>
      <c r="H539" s="15">
        <f>H544+H542+H545+H543</f>
        <v>200</v>
      </c>
      <c r="I539" s="71">
        <f>I544+I542+I545+I543</f>
        <v>200</v>
      </c>
      <c r="J539" s="32"/>
      <c r="K539" s="73"/>
    </row>
    <row r="540" spans="1:11" s="3" customFormat="1" ht="63">
      <c r="A540" s="104" t="s">
        <v>384</v>
      </c>
      <c r="B540" s="19" t="s">
        <v>13</v>
      </c>
      <c r="C540" s="19" t="s">
        <v>6</v>
      </c>
      <c r="D540" s="19" t="s">
        <v>411</v>
      </c>
      <c r="E540" s="19"/>
      <c r="F540" s="14"/>
      <c r="G540" s="15">
        <f>G541</f>
        <v>585.4</v>
      </c>
      <c r="H540" s="15"/>
      <c r="I540" s="71"/>
      <c r="J540" s="32"/>
      <c r="K540" s="73"/>
    </row>
    <row r="541" spans="1:11" s="3" customFormat="1" ht="47.25">
      <c r="A541" s="54" t="s">
        <v>70</v>
      </c>
      <c r="B541" s="19" t="s">
        <v>13</v>
      </c>
      <c r="C541" s="19" t="s">
        <v>6</v>
      </c>
      <c r="D541" s="19" t="s">
        <v>411</v>
      </c>
      <c r="E541" s="19" t="s">
        <v>69</v>
      </c>
      <c r="F541" s="14"/>
      <c r="G541" s="15">
        <v>585.4</v>
      </c>
      <c r="H541" s="15"/>
      <c r="I541" s="71"/>
      <c r="J541" s="32"/>
      <c r="K541" s="73"/>
    </row>
    <row r="542" spans="1:11" s="3" customFormat="1" ht="63">
      <c r="A542" s="36" t="s">
        <v>198</v>
      </c>
      <c r="B542" s="19" t="s">
        <v>13</v>
      </c>
      <c r="C542" s="19" t="s">
        <v>6</v>
      </c>
      <c r="D542" s="19" t="s">
        <v>168</v>
      </c>
      <c r="E542" s="19" t="s">
        <v>197</v>
      </c>
      <c r="F542" s="14"/>
      <c r="G542" s="15">
        <v>50</v>
      </c>
      <c r="H542" s="15">
        <v>100</v>
      </c>
      <c r="I542" s="71">
        <v>100</v>
      </c>
      <c r="J542" s="32"/>
      <c r="K542" s="73"/>
    </row>
    <row r="543" spans="1:11" s="3" customFormat="1" ht="51.75" customHeight="1">
      <c r="A543" s="36" t="s">
        <v>66</v>
      </c>
      <c r="B543" s="19" t="s">
        <v>13</v>
      </c>
      <c r="C543" s="19" t="s">
        <v>6</v>
      </c>
      <c r="D543" s="19" t="s">
        <v>168</v>
      </c>
      <c r="E543" s="19" t="s">
        <v>68</v>
      </c>
      <c r="F543" s="14"/>
      <c r="G543" s="15"/>
      <c r="H543" s="15"/>
      <c r="I543" s="71"/>
      <c r="J543" s="32"/>
      <c r="K543" s="73"/>
    </row>
    <row r="544" spans="1:11" s="3" customFormat="1" ht="47.25">
      <c r="A544" s="54" t="s">
        <v>70</v>
      </c>
      <c r="B544" s="19" t="s">
        <v>13</v>
      </c>
      <c r="C544" s="19" t="s">
        <v>6</v>
      </c>
      <c r="D544" s="19" t="s">
        <v>168</v>
      </c>
      <c r="E544" s="19" t="s">
        <v>69</v>
      </c>
      <c r="F544" s="14" t="e">
        <f>#REF!</f>
        <v>#REF!</v>
      </c>
      <c r="G544" s="15">
        <f>50+65.045</f>
        <v>115.045</v>
      </c>
      <c r="H544" s="15">
        <v>100</v>
      </c>
      <c r="I544" s="71">
        <v>100</v>
      </c>
      <c r="J544" s="32"/>
      <c r="K544" s="73"/>
    </row>
    <row r="545" spans="1:11" s="3" customFormat="1" ht="15.75">
      <c r="A545" s="61" t="s">
        <v>209</v>
      </c>
      <c r="B545" s="19" t="s">
        <v>13</v>
      </c>
      <c r="C545" s="19" t="s">
        <v>6</v>
      </c>
      <c r="D545" s="19" t="s">
        <v>168</v>
      </c>
      <c r="E545" s="10" t="s">
        <v>208</v>
      </c>
      <c r="F545" s="14"/>
      <c r="G545" s="15">
        <f>50-10.003</f>
        <v>39.997</v>
      </c>
      <c r="H545" s="15"/>
      <c r="I545" s="71"/>
      <c r="J545" s="32"/>
      <c r="K545" s="73"/>
    </row>
    <row r="546" spans="1:11" s="3" customFormat="1" ht="31.5">
      <c r="A546" s="61" t="s">
        <v>72</v>
      </c>
      <c r="B546" s="10" t="s">
        <v>13</v>
      </c>
      <c r="C546" s="10" t="s">
        <v>6</v>
      </c>
      <c r="D546" s="10" t="s">
        <v>109</v>
      </c>
      <c r="E546" s="10"/>
      <c r="F546" s="14"/>
      <c r="G546" s="15">
        <f>G547</f>
        <v>193</v>
      </c>
      <c r="H546" s="15"/>
      <c r="I546" s="71"/>
      <c r="J546" s="32"/>
      <c r="K546" s="73"/>
    </row>
    <row r="547" spans="1:11" s="3" customFormat="1" ht="110.25">
      <c r="A547" s="61" t="s">
        <v>182</v>
      </c>
      <c r="B547" s="10" t="s">
        <v>13</v>
      </c>
      <c r="C547" s="10" t="s">
        <v>6</v>
      </c>
      <c r="D547" s="10" t="s">
        <v>181</v>
      </c>
      <c r="E547" s="10"/>
      <c r="F547" s="14"/>
      <c r="G547" s="15">
        <f>G548+G549</f>
        <v>193</v>
      </c>
      <c r="H547" s="15">
        <f>H548+H549</f>
        <v>0</v>
      </c>
      <c r="I547" s="15">
        <f>I548+I549</f>
        <v>0</v>
      </c>
      <c r="J547" s="32"/>
      <c r="K547" s="73"/>
    </row>
    <row r="548" spans="1:11" s="3" customFormat="1" ht="47.25">
      <c r="A548" s="61" t="s">
        <v>70</v>
      </c>
      <c r="B548" s="10" t="s">
        <v>13</v>
      </c>
      <c r="C548" s="10" t="s">
        <v>6</v>
      </c>
      <c r="D548" s="10" t="s">
        <v>181</v>
      </c>
      <c r="E548" s="10" t="s">
        <v>69</v>
      </c>
      <c r="F548" s="14"/>
      <c r="G548" s="15">
        <v>93</v>
      </c>
      <c r="H548" s="15"/>
      <c r="I548" s="71"/>
      <c r="J548" s="32"/>
      <c r="K548" s="73"/>
    </row>
    <row r="549" spans="1:11" s="3" customFormat="1" ht="15.75">
      <c r="A549" s="61" t="s">
        <v>209</v>
      </c>
      <c r="B549" s="10" t="s">
        <v>13</v>
      </c>
      <c r="C549" s="10" t="s">
        <v>6</v>
      </c>
      <c r="D549" s="10" t="s">
        <v>181</v>
      </c>
      <c r="E549" s="10" t="s">
        <v>208</v>
      </c>
      <c r="F549" s="14"/>
      <c r="G549" s="15">
        <v>100</v>
      </c>
      <c r="H549" s="15"/>
      <c r="I549" s="71"/>
      <c r="J549" s="32"/>
      <c r="K549" s="73"/>
    </row>
    <row r="550" spans="1:11" s="40" customFormat="1" ht="15.75">
      <c r="A550" s="59" t="s">
        <v>53</v>
      </c>
      <c r="B550" s="27" t="s">
        <v>16</v>
      </c>
      <c r="C550" s="27"/>
      <c r="D550" s="27"/>
      <c r="E550" s="27"/>
      <c r="F550" s="28"/>
      <c r="G550" s="29">
        <f aca="true" t="shared" si="26" ref="G550:I553">G551</f>
        <v>1281.5</v>
      </c>
      <c r="H550" s="29">
        <f t="shared" si="26"/>
        <v>1281.5</v>
      </c>
      <c r="I550" s="67">
        <f t="shared" si="26"/>
        <v>1281.5</v>
      </c>
      <c r="J550" s="74"/>
      <c r="K550" s="73"/>
    </row>
    <row r="551" spans="1:11" s="3" customFormat="1" ht="15.75">
      <c r="A551" s="59" t="s">
        <v>35</v>
      </c>
      <c r="B551" s="27" t="s">
        <v>16</v>
      </c>
      <c r="C551" s="27" t="s">
        <v>7</v>
      </c>
      <c r="D551" s="27"/>
      <c r="E551" s="27"/>
      <c r="F551" s="28"/>
      <c r="G551" s="29">
        <f t="shared" si="26"/>
        <v>1281.5</v>
      </c>
      <c r="H551" s="29">
        <f t="shared" si="26"/>
        <v>1281.5</v>
      </c>
      <c r="I551" s="67">
        <f t="shared" si="26"/>
        <v>1281.5</v>
      </c>
      <c r="J551" s="32"/>
      <c r="K551" s="73"/>
    </row>
    <row r="552" spans="1:11" s="41" customFormat="1" ht="31.5">
      <c r="A552" s="54" t="s">
        <v>72</v>
      </c>
      <c r="B552" s="19" t="s">
        <v>16</v>
      </c>
      <c r="C552" s="19" t="s">
        <v>7</v>
      </c>
      <c r="D552" s="19" t="s">
        <v>109</v>
      </c>
      <c r="E552" s="19"/>
      <c r="F552" s="25"/>
      <c r="G552" s="26">
        <f>G553+G555</f>
        <v>1281.5</v>
      </c>
      <c r="H552" s="26">
        <f>H553+H555</f>
        <v>1281.5</v>
      </c>
      <c r="I552" s="68">
        <f>I553+I555</f>
        <v>1281.5</v>
      </c>
      <c r="J552" s="76"/>
      <c r="K552" s="73"/>
    </row>
    <row r="553" spans="1:11" s="3" customFormat="1" ht="31.5">
      <c r="A553" s="45" t="s">
        <v>179</v>
      </c>
      <c r="B553" s="19" t="s">
        <v>16</v>
      </c>
      <c r="C553" s="19" t="s">
        <v>7</v>
      </c>
      <c r="D553" s="19" t="s">
        <v>180</v>
      </c>
      <c r="E553" s="19"/>
      <c r="F553" s="14"/>
      <c r="G553" s="15">
        <f t="shared" si="26"/>
        <v>300</v>
      </c>
      <c r="H553" s="15">
        <f t="shared" si="26"/>
        <v>300</v>
      </c>
      <c r="I553" s="71">
        <f t="shared" si="26"/>
        <v>300</v>
      </c>
      <c r="J553" s="32"/>
      <c r="K553" s="73"/>
    </row>
    <row r="554" spans="1:11" s="3" customFormat="1" ht="64.5" customHeight="1">
      <c r="A554" s="35" t="s">
        <v>57</v>
      </c>
      <c r="B554" s="19" t="s">
        <v>16</v>
      </c>
      <c r="C554" s="19" t="s">
        <v>7</v>
      </c>
      <c r="D554" s="19" t="s">
        <v>180</v>
      </c>
      <c r="E554" s="19" t="s">
        <v>31</v>
      </c>
      <c r="F554" s="14">
        <v>375</v>
      </c>
      <c r="G554" s="15">
        <v>300</v>
      </c>
      <c r="H554" s="15">
        <v>300</v>
      </c>
      <c r="I554" s="71">
        <v>300</v>
      </c>
      <c r="J554" s="32"/>
      <c r="K554" s="73"/>
    </row>
    <row r="555" spans="1:11" s="3" customFormat="1" ht="174.75" customHeight="1">
      <c r="A555" s="54" t="s">
        <v>264</v>
      </c>
      <c r="B555" s="19" t="s">
        <v>16</v>
      </c>
      <c r="C555" s="19" t="s">
        <v>7</v>
      </c>
      <c r="D555" s="19" t="s">
        <v>288</v>
      </c>
      <c r="E555" s="19"/>
      <c r="F555" s="14"/>
      <c r="G555" s="15">
        <f>G556</f>
        <v>981.5</v>
      </c>
      <c r="H555" s="15">
        <f>H556</f>
        <v>981.5</v>
      </c>
      <c r="I555" s="71">
        <f>I556</f>
        <v>981.5</v>
      </c>
      <c r="J555" s="32"/>
      <c r="K555" s="73"/>
    </row>
    <row r="556" spans="1:11" s="3" customFormat="1" ht="63">
      <c r="A556" s="35" t="s">
        <v>57</v>
      </c>
      <c r="B556" s="19" t="s">
        <v>16</v>
      </c>
      <c r="C556" s="19" t="s">
        <v>7</v>
      </c>
      <c r="D556" s="19" t="s">
        <v>288</v>
      </c>
      <c r="E556" s="19" t="s">
        <v>385</v>
      </c>
      <c r="F556" s="14"/>
      <c r="G556" s="15">
        <v>981.5</v>
      </c>
      <c r="H556" s="15">
        <v>981.5</v>
      </c>
      <c r="I556" s="71">
        <v>981.5</v>
      </c>
      <c r="J556" s="32"/>
      <c r="K556" s="73"/>
    </row>
    <row r="557" spans="1:11" s="40" customFormat="1" ht="31.5" hidden="1">
      <c r="A557" s="99" t="s">
        <v>12</v>
      </c>
      <c r="B557" s="30" t="s">
        <v>51</v>
      </c>
      <c r="C557" s="30"/>
      <c r="D557" s="30"/>
      <c r="E557" s="30"/>
      <c r="F557" s="28"/>
      <c r="G557" s="29">
        <f>G558</f>
        <v>0</v>
      </c>
      <c r="H557" s="29">
        <f>H558</f>
        <v>0</v>
      </c>
      <c r="I557" s="67">
        <f>I558</f>
        <v>0</v>
      </c>
      <c r="J557" s="74"/>
      <c r="K557" s="73"/>
    </row>
    <row r="558" spans="1:11" s="37" customFormat="1" ht="30.75" customHeight="1" hidden="1">
      <c r="A558" s="99" t="s">
        <v>190</v>
      </c>
      <c r="B558" s="9" t="s">
        <v>51</v>
      </c>
      <c r="C558" s="9" t="s">
        <v>6</v>
      </c>
      <c r="D558" s="9"/>
      <c r="E558" s="9"/>
      <c r="F558" s="11">
        <f>F560</f>
        <v>841.9</v>
      </c>
      <c r="G558" s="12">
        <f>G560</f>
        <v>0</v>
      </c>
      <c r="H558" s="12">
        <f>H560</f>
        <v>0</v>
      </c>
      <c r="I558" s="66">
        <f>I560</f>
        <v>0</v>
      </c>
      <c r="J558" s="75"/>
      <c r="K558" s="73"/>
    </row>
    <row r="559" spans="1:11" s="41" customFormat="1" ht="30.75" customHeight="1" hidden="1">
      <c r="A559" s="35" t="s">
        <v>72</v>
      </c>
      <c r="B559" s="23" t="s">
        <v>51</v>
      </c>
      <c r="C559" s="23" t="s">
        <v>6</v>
      </c>
      <c r="D559" s="23" t="s">
        <v>109</v>
      </c>
      <c r="E559" s="23"/>
      <c r="F559" s="25"/>
      <c r="G559" s="26">
        <f>G560</f>
        <v>0</v>
      </c>
      <c r="H559" s="26"/>
      <c r="I559" s="68"/>
      <c r="J559" s="76"/>
      <c r="K559" s="73"/>
    </row>
    <row r="560" spans="1:11" s="37" customFormat="1" ht="30.75" customHeight="1" hidden="1">
      <c r="A560" s="54" t="s">
        <v>14</v>
      </c>
      <c r="B560" s="19" t="s">
        <v>51</v>
      </c>
      <c r="C560" s="19" t="s">
        <v>6</v>
      </c>
      <c r="D560" s="19" t="s">
        <v>187</v>
      </c>
      <c r="E560" s="19"/>
      <c r="F560" s="14">
        <f>F561</f>
        <v>841.9</v>
      </c>
      <c r="G560" s="15">
        <f>G561</f>
        <v>0</v>
      </c>
      <c r="H560" s="15">
        <f>H561</f>
        <v>0</v>
      </c>
      <c r="I560" s="71">
        <f>I561</f>
        <v>0</v>
      </c>
      <c r="J560" s="75"/>
      <c r="K560" s="73"/>
    </row>
    <row r="561" spans="1:11" s="37" customFormat="1" ht="15" customHeight="1" hidden="1">
      <c r="A561" s="105" t="s">
        <v>188</v>
      </c>
      <c r="B561" s="19" t="s">
        <v>51</v>
      </c>
      <c r="C561" s="19" t="s">
        <v>6</v>
      </c>
      <c r="D561" s="19" t="s">
        <v>187</v>
      </c>
      <c r="E561" s="19" t="s">
        <v>189</v>
      </c>
      <c r="F561" s="14">
        <f>887-45.1</f>
        <v>841.9</v>
      </c>
      <c r="G561" s="15">
        <f>171-171</f>
        <v>0</v>
      </c>
      <c r="H561" s="15"/>
      <c r="I561" s="71"/>
      <c r="J561" s="75"/>
      <c r="K561" s="73"/>
    </row>
    <row r="562" spans="1:11" s="3" customFormat="1" ht="15.75">
      <c r="A562" s="61"/>
      <c r="B562" s="10"/>
      <c r="C562" s="10"/>
      <c r="D562" s="10"/>
      <c r="E562" s="10"/>
      <c r="F562" s="14"/>
      <c r="G562" s="15"/>
      <c r="H562" s="15"/>
      <c r="I562" s="71"/>
      <c r="J562" s="32"/>
      <c r="K562" s="73"/>
    </row>
    <row r="563" spans="1:11" s="3" customFormat="1" ht="15.75">
      <c r="A563" s="98" t="s">
        <v>40</v>
      </c>
      <c r="B563" s="22"/>
      <c r="C563" s="22"/>
      <c r="D563" s="22"/>
      <c r="E563" s="22"/>
      <c r="F563" s="11" t="e">
        <f>F536+F501+#REF!+F451+F246+#REF!+F192+#REF!+#REF!+F12</f>
        <v>#REF!</v>
      </c>
      <c r="G563" s="12">
        <f>G12+G160+G165+G192+G246+G451+G501+G536+G550+G557</f>
        <v>316778.39400000003</v>
      </c>
      <c r="H563" s="12">
        <f>H12+H160+H165+H192+H246+H451+H501+H536+H550+H557</f>
        <v>290585</v>
      </c>
      <c r="I563" s="12">
        <f>I12+I160+I165+I192+I246+I451+I501+I536+I550+I557</f>
        <v>287366.50000000006</v>
      </c>
      <c r="J563" s="79"/>
      <c r="K563" s="73"/>
    </row>
    <row r="564" spans="1:11" s="3" customFormat="1" ht="15.75">
      <c r="A564" s="106"/>
      <c r="B564" s="32"/>
      <c r="C564" s="32"/>
      <c r="D564" s="32"/>
      <c r="E564" s="32"/>
      <c r="F564" s="32"/>
      <c r="G564" s="32"/>
      <c r="J564" s="73"/>
      <c r="K564" s="32"/>
    </row>
    <row r="565" spans="1:11" s="3" customFormat="1" ht="15.75">
      <c r="A565" s="89"/>
      <c r="G565" s="31"/>
      <c r="H565" s="42"/>
      <c r="I565" s="42"/>
      <c r="J565" s="32"/>
      <c r="K565" s="73"/>
    </row>
    <row r="566" spans="1:11" s="3" customFormat="1" ht="15.75">
      <c r="A566" s="89"/>
      <c r="J566" s="32"/>
      <c r="K566" s="32"/>
    </row>
    <row r="567" spans="1:11" s="3" customFormat="1" ht="15.75">
      <c r="A567" s="89"/>
      <c r="E567" s="115"/>
      <c r="F567" s="115"/>
      <c r="G567" s="85"/>
      <c r="J567" s="32"/>
      <c r="K567" s="32"/>
    </row>
    <row r="568" spans="10:11" ht="15">
      <c r="J568" s="77"/>
      <c r="K568" s="77"/>
    </row>
    <row r="569" spans="10:11" ht="15">
      <c r="J569" s="77"/>
      <c r="K569" s="77"/>
    </row>
  </sheetData>
  <sheetProtection/>
  <mergeCells count="7">
    <mergeCell ref="A1:I1"/>
    <mergeCell ref="E2:G2"/>
    <mergeCell ref="A3:G3"/>
    <mergeCell ref="E567:F567"/>
    <mergeCell ref="A7:F7"/>
    <mergeCell ref="B4:G4"/>
    <mergeCell ref="A6:I6"/>
  </mergeCells>
  <printOptions/>
  <pageMargins left="0.7874015748031497" right="0.03937007874015748" top="0.1968503937007874" bottom="0.3937007874015748" header="0.5118110236220472" footer="0.5118110236220472"/>
  <pageSetup fitToHeight="0" horizontalDpi="600" verticalDpi="600" orientation="portrait" paperSize="9" scale="84" r:id="rId1"/>
  <headerFooter alignWithMargins="0">
    <oddFooter>&amp;CСтраница &amp;P</oddFooter>
  </headerFooter>
  <rowBreaks count="1" manualBreakCount="1">
    <brk id="3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</dc:creator>
  <cp:keywords/>
  <dc:description/>
  <cp:lastModifiedBy>Районный Совет</cp:lastModifiedBy>
  <cp:lastPrinted>2021-05-11T10:21:26Z</cp:lastPrinted>
  <dcterms:created xsi:type="dcterms:W3CDTF">2007-09-03T07:30:33Z</dcterms:created>
  <dcterms:modified xsi:type="dcterms:W3CDTF">2021-05-11T10:21:44Z</dcterms:modified>
  <cp:category/>
  <cp:version/>
  <cp:contentType/>
  <cp:contentStatus/>
</cp:coreProperties>
</file>