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18-2020" sheetId="1" r:id="rId1"/>
  </sheets>
  <definedNames>
    <definedName name="_xlnm.Print_Area" localSheetId="0">'2018-2020'!$A$1:$I$448</definedName>
  </definedNames>
  <calcPr fullCalcOnLoad="1"/>
</workbook>
</file>

<file path=xl/sharedStrings.xml><?xml version="1.0" encoding="utf-8"?>
<sst xmlns="http://schemas.openxmlformats.org/spreadsheetml/2006/main" count="1940" uniqueCount="346">
  <si>
    <t>Наименование</t>
  </si>
  <si>
    <t>Раздел</t>
  </si>
  <si>
    <t>Подраздел</t>
  </si>
  <si>
    <t>ЦСР</t>
  </si>
  <si>
    <t>КВР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</si>
  <si>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</si>
  <si>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</si>
  <si>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</si>
  <si>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</si>
  <si>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</si>
  <si>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</si>
  <si>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</si>
  <si>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</si>
  <si>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</si>
  <si>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</si>
  <si>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</si>
  <si>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</si>
  <si>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Другие общегосударственные вопросы</t>
  </si>
  <si>
    <t>Оценка недвижимости, признание прав  и регулирование отношений по государственной  и муниципальной собственности</t>
  </si>
  <si>
    <t>Национальная безопасность и правоохранительная деятельность</t>
  </si>
  <si>
    <t>05</t>
  </si>
  <si>
    <t>09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</si>
  <si>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</si>
  <si>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</si>
  <si>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</si>
  <si>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</si>
  <si>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06</t>
  </si>
  <si>
    <t>Охрана объектов растительного и животного мира и среды их обитания</t>
  </si>
  <si>
    <t>Природоохранные мероприятия</t>
  </si>
  <si>
    <t>Образование</t>
  </si>
  <si>
    <t>07</t>
  </si>
  <si>
    <t>Дошкольное образование</t>
  </si>
  <si>
    <t>Общее образование</t>
  </si>
  <si>
    <t>621</t>
  </si>
  <si>
    <t>Молодежная политика и оздоровление детей</t>
  </si>
  <si>
    <t>08</t>
  </si>
  <si>
    <t>Культура</t>
  </si>
  <si>
    <t>Периодическая печать и издательства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</si>
  <si>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</si>
  <si>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</si>
  <si>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</si>
  <si>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</si>
  <si>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ВСЕГО :</t>
  </si>
  <si>
    <t>(тыс.рублей)</t>
  </si>
  <si>
    <t>Судебная система</t>
  </si>
  <si>
    <t>Резервные фонды местных администраций</t>
  </si>
  <si>
    <t>Охрана семьи и детства</t>
  </si>
  <si>
    <t>Национальная экономика</t>
  </si>
  <si>
    <t>Охрана окружающей среды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</si>
  <si>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</si>
  <si>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Дорожное хозяйство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</si>
  <si>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</si>
  <si>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</si>
  <si>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</si>
  <si>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 xml:space="preserve">Руководитель контрольно-счетной палаты муниципального образования </t>
  </si>
  <si>
    <t>13</t>
  </si>
  <si>
    <t xml:space="preserve">Культура и кинематография </t>
  </si>
  <si>
    <t>Средства массовой информации</t>
  </si>
  <si>
    <t xml:space="preserve">к решению Даниловского  районного 
Совета народных депутатов </t>
  </si>
  <si>
    <t>Сельское хозяйство и рыболовство</t>
  </si>
  <si>
    <t>Иные межбюджетные трансферты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</si>
  <si>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</si>
  <si>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611</t>
  </si>
  <si>
    <t>612</t>
  </si>
  <si>
    <t>Субсидии бюджетным учреждениям на иные цели</t>
  </si>
  <si>
    <t>112</t>
  </si>
  <si>
    <t>Обеспечение деятельности муниципальных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</si>
  <si>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</si>
  <si>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</si>
  <si>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выполнения функций муниципальными органами, казенными учреждениями</t>
  </si>
  <si>
    <t xml:space="preserve">Иные выплаты персоналу государственных (муниципальных) органов, за исключением фонда оплаты труда </t>
  </si>
  <si>
    <t>Прочая закупка товаров, работ и услуг для обеспечения муниципальных нужд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</si>
  <si>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</si>
  <si>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</si>
  <si>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</si>
  <si>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</si>
  <si>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Непрограммные расходы органов местного самоуправления</t>
  </si>
  <si>
    <t>851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</si>
  <si>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</si>
  <si>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</si>
  <si>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</si>
  <si>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Иные выплаты персоналу казенных учреждений, за исключением фонда оплаты труда</t>
  </si>
  <si>
    <t>Уплата прочих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</si>
  <si>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</si>
  <si>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</si>
  <si>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852</t>
  </si>
  <si>
    <t>831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</si>
  <si>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</si>
  <si>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</si>
  <si>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6707028</t>
  </si>
  <si>
    <t xml:space="preserve">Мероприятия в области коммунального хозяйства 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</si>
  <si>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</si>
  <si>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</si>
  <si>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</si>
  <si>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</si>
  <si>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</si>
  <si>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</si>
  <si>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Мероприятия в области  физической культуры и спорта</t>
  </si>
  <si>
    <t>Развитие сети муниципальных автомобильных дорог общего пользования</t>
  </si>
  <si>
    <t>9908067</t>
  </si>
  <si>
    <t>321</t>
  </si>
  <si>
    <t>Резервный фонд Правительства Волгоградской области</t>
  </si>
  <si>
    <t>Пособия, компенсации и иные социальные выплаты гражданам, кроме публичных нормативных обязательств</t>
  </si>
  <si>
    <t>1117058</t>
  </si>
  <si>
    <t>Субсидии на 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</si>
  <si>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</si>
  <si>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</si>
  <si>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</si>
  <si>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</si>
  <si>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t>Мероприятия по безопасности дорожного движения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</si>
  <si>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</si>
  <si>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</si>
  <si>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>9000000000</t>
  </si>
  <si>
    <t>9000000010</t>
  </si>
  <si>
    <t>9000070010</t>
  </si>
  <si>
    <t>9000070020</t>
  </si>
  <si>
    <t>9000070030</t>
  </si>
  <si>
    <t>9000070040</t>
  </si>
  <si>
    <t>9000000070</t>
  </si>
  <si>
    <t>9900000000</t>
  </si>
  <si>
    <t>9900080020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</si>
  <si>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</si>
  <si>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</si>
  <si>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</si>
  <si>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</si>
  <si>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</si>
  <si>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</si>
  <si>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</si>
  <si>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</si>
  <si>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</si>
  <si>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</si>
  <si>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</si>
  <si>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</si>
  <si>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</si>
  <si>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</si>
  <si>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</si>
  <si>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</si>
  <si>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</si>
  <si>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0100000000</t>
  </si>
  <si>
    <t>0100020870</t>
  </si>
  <si>
    <t>9900020880</t>
  </si>
  <si>
    <t>9900020890</t>
  </si>
  <si>
    <t>9900070510</t>
  </si>
  <si>
    <t>1100000000</t>
  </si>
  <si>
    <t>1100020900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</si>
  <si>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</si>
  <si>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</si>
  <si>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</si>
  <si>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</si>
  <si>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119</t>
  </si>
  <si>
    <t>6000000000</t>
  </si>
  <si>
    <t>6000000590</t>
  </si>
  <si>
    <t>6000070350</t>
  </si>
  <si>
    <t>5400000000</t>
  </si>
  <si>
    <t>5400060010</t>
  </si>
  <si>
    <t>6100000000</t>
  </si>
  <si>
    <t>6100000590</t>
  </si>
  <si>
    <t>6100070360</t>
  </si>
  <si>
    <t>6200000000</t>
  </si>
  <si>
    <t>6200000590</t>
  </si>
  <si>
    <t>9900070370</t>
  </si>
  <si>
    <t>9900070570</t>
  </si>
  <si>
    <t>0200000000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</si>
  <si>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</si>
  <si>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</si>
  <si>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</si>
  <si>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</si>
  <si>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</si>
  <si>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</si>
  <si>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</si>
  <si>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</si>
  <si>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</si>
  <si>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</si>
  <si>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9900010270</t>
  </si>
  <si>
    <t>9900070420</t>
  </si>
  <si>
    <t>9900070450</t>
  </si>
  <si>
    <t>9900070530</t>
  </si>
  <si>
    <t>Резервный фонд Администрации Волгоградской области</t>
  </si>
  <si>
    <t>9900080670</t>
  </si>
  <si>
    <t>9900070340</t>
  </si>
  <si>
    <t>9900070400</t>
  </si>
  <si>
    <t>9900070410</t>
  </si>
  <si>
    <t>1200000000</t>
  </si>
  <si>
    <t>1200020350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</si>
  <si>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</si>
  <si>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0200070090</t>
  </si>
  <si>
    <t>0200070390</t>
  </si>
  <si>
    <t>Мероприятия по профилактике терроризма и экстремизма</t>
  </si>
  <si>
    <t xml:space="preserve">Фонд оплаты труда  учреждений </t>
  </si>
  <si>
    <t>Взносы по обязательному социальному страхованию  на выплаты по оплате труда работников и иные выплаты работникам  учреждений</t>
  </si>
  <si>
    <t>2018 год</t>
  </si>
  <si>
    <t>9900070580</t>
  </si>
  <si>
    <t>9900070270</t>
  </si>
  <si>
    <t xml:space="preserve"> Межбюджетные трансферты,  передаваемые бюджетам сельских
поселений из бюджетов  муниципальных районов на  осуществление части полномочий  по решению вопросов местного  значения в соответствии с
заключенными соглашениями
</t>
  </si>
  <si>
    <t>5700000590</t>
  </si>
  <si>
    <t>Субвенции на проведение всероссийской сельскохозяйственной переписи в 2016 году</t>
  </si>
  <si>
    <t>9900051200</t>
  </si>
  <si>
    <t>9900053910</t>
  </si>
  <si>
    <t>Предоставление услуг (работ) в сфере средств массовой информации</t>
  </si>
  <si>
    <t>9900060120</t>
  </si>
  <si>
    <t>9900070590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</si>
  <si>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</si>
  <si>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</si>
  <si>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</si>
  <si>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</si>
  <si>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</si>
  <si>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</si>
  <si>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</si>
  <si>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</si>
  <si>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</si>
  <si>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</si>
  <si>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</si>
  <si>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</si>
  <si>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</si>
  <si>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</si>
  <si>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9900070840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</si>
  <si>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</si>
  <si>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</si>
  <si>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</si>
  <si>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</si>
  <si>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6100070980</t>
  </si>
  <si>
    <t>2019 год</t>
  </si>
  <si>
    <t>Дополнительное образование детей</t>
  </si>
  <si>
    <t xml:space="preserve"> Расходы на обеспечение деятельности (оказание услуг)  казенных учреждений 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</si>
  <si>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</si>
  <si>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</si>
  <si>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>6000071170</t>
  </si>
  <si>
    <t>Ведомственная целевая программа "Развитие  общего  образования Даниловского муниципального района" на 2015-2019 годы</t>
  </si>
  <si>
    <t>Приобретение товаров, работ, услуг в пользу граждан в целях их социального обеспечения</t>
  </si>
  <si>
    <t>323</t>
  </si>
  <si>
    <t>6100071170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</si>
  <si>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</si>
  <si>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</si>
  <si>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</si>
  <si>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870</t>
  </si>
  <si>
    <t>Резервные средства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</si>
  <si>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</si>
  <si>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0800000000</t>
  </si>
  <si>
    <t>0810000000</t>
  </si>
  <si>
    <t>0810100000</t>
  </si>
  <si>
    <t>6000070980</t>
  </si>
  <si>
    <t>Профессиональная подготовка, переподготовка и повышение квалификации</t>
  </si>
  <si>
    <t>Распределение расходов по разделам, подразделам, целевым статьям и видам расходов бюджетной классификации РФ районного бюджета на 2018 год и на плановый период 2019 и 2020 годов</t>
  </si>
  <si>
    <t>2020 год</t>
  </si>
  <si>
    <t>811</t>
  </si>
  <si>
    <t>9900071150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</si>
  <si>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</si>
  <si>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</si>
  <si>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</si>
  <si>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</si>
  <si>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</si>
  <si>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</si>
  <si>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</si>
  <si>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</si>
  <si>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</si>
  <si>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Иные межбюджетные трансферты бюджетам поселений для решения отдельных вопросов местного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</si>
  <si>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</si>
  <si>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"Приложение 9</t>
  </si>
  <si>
    <t>Другие вопросы в области социальной политики</t>
  </si>
  <si>
    <t>6100071493</t>
  </si>
  <si>
    <t>Другие вопросы в области образования</t>
  </si>
  <si>
    <t>9900000590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</si>
  <si>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</si>
  <si>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</si>
  <si>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</si>
  <si>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Основное мероприятие "Обеспечение развития и укрепления материально-технической базы домов культуры в населенных пунктах с числом жителей до 50 тыс. человек"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</si>
  <si>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</si>
  <si>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</si>
  <si>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</si>
  <si>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</si>
  <si>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08101L4670</t>
  </si>
  <si>
    <t>12101L0970</t>
  </si>
  <si>
    <t>08101R4670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</si>
  <si>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</si>
  <si>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</si>
  <si>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</si>
  <si>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</si>
  <si>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</si>
  <si>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</si>
  <si>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</si>
  <si>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</si>
  <si>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</si>
  <si>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</si>
  <si>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</si>
  <si>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</si>
  <si>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</si>
  <si>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</si>
  <si>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</si>
  <si>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</si>
  <si>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</si>
  <si>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</si>
  <si>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</si>
  <si>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</si>
  <si>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</si>
  <si>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</si>
  <si>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</si>
  <si>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</si>
  <si>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</si>
  <si>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</si>
  <si>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</si>
  <si>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</si>
  <si>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Развитие и укрепления материально-технической базы домов культуры в населенных пунктах с числом жителей до 50 тысяч человек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</si>
  <si>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</si>
  <si>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</si>
  <si>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</si>
  <si>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</si>
  <si>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</si>
  <si>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</si>
  <si>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</si>
  <si>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Целевая муниципальная программа "Развитие спорта в Даниловском  муниципальном районе"</t>
  </si>
  <si>
    <t>Ведомственная целевая программа "Содержание и развитие МКУК "Даниловская районная библиотека им. Д.Л.Мордовцева"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</si>
  <si>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</si>
  <si>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Ведомственная целевая программа "Содержание и развитие муниципального казенного учреждения "Даниловский районный историко-краеведческий музей"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</si>
  <si>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</si>
  <si>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"Организация отдыха и оздоровления детей и подростков Даниловского муниципального района Волгоградской области"</t>
  </si>
  <si>
    <t xml:space="preserve">Ведомственная целевая программа "Организация деятельности МКУ "МЦБ Даниловского муниципального района" 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</si>
  <si>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</si>
  <si>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</si>
  <si>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</si>
  <si>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</si>
  <si>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 xml:space="preserve">Ведомственная целевая программа "Развитие  общего  образования Даниловского муниципального района" 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</si>
  <si>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</si>
  <si>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</si>
  <si>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</si>
  <si>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Муниципальная программа "Развитие сети муниципальных автомобильных дорог общего пользования Даниловского муниципального района"</t>
  </si>
  <si>
    <t>Ведомственная целевая программа "Организация деятельности МКУ "МЦБ Даниловского муниципального района"</t>
  </si>
  <si>
    <t>Муниципальная программа "Безопасность дорожного движения в Даниловском муниципальном районе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</si>
  <si>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</si>
  <si>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</si>
  <si>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</si>
  <si>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</si>
  <si>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</si>
  <si>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</si>
  <si>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</si>
  <si>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0310100000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</si>
  <si>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</si>
  <si>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03101L0273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</si>
  <si>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</si>
  <si>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</si>
  <si>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</si>
  <si>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61000R5390</t>
  </si>
  <si>
    <t>Расходы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</si>
  <si>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1.6. Приложение 9 изложитьв следующей редакции:</t>
  </si>
  <si>
    <t>9900010260</t>
  </si>
  <si>
    <t>Компенсация части расходов на приобретение и установку комплекта оборудования приема телевизионного спутникового вещания</t>
  </si>
  <si>
    <t xml:space="preserve">от 24.12.2018 г. № 12/4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</si>
</sst>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#,##0.0"/>
    <numFmt numFmtId="171" formatCode="0.000"/>
    <numFmt numFmtId="172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1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171" fontId="3" fillId="0" borderId="10" xfId="0" applyNumberFormat="1" applyFont="1" applyBorder="1" applyAlignment="1">
      <alignment horizontal="right"/>
    </xf>
    <xf numFmtId="0" fontId="42" fillId="0" borderId="11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2"/>
  <sheetViews>
    <sheetView showZeros="0"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4.00390625" style="44" customWidth="1"/>
    <col min="2" max="3" width="5.25390625" style="47" customWidth="1"/>
    <col min="4" max="4" width="12.75390625" style="47" customWidth="1"/>
    <col min="5" max="5" width="5.375" style="47" customWidth="1"/>
    <col min="6" max="6" width="10.875" style="47" hidden="1" customWidth="1"/>
    <col min="7" max="7" width="17.25390625" style="47" customWidth="1"/>
    <col min="8" max="8" width="13.25390625" style="47" customWidth="1"/>
    <col min="9" max="9" width="13.375" style="47" customWidth="1"/>
    <col min="10" max="16384" width="9.125" style="47" customWidth="1"/>
  </cols>
  <sheetData>
    <row r="1" spans="1:9" ht="15.75">
      <c r="A1" s="93" t="s">
        <v>342</v>
      </c>
      <c r="B1" s="93"/>
      <c r="C1" s="94"/>
      <c r="D1" s="94"/>
      <c r="E1" s="94"/>
      <c r="F1" s="94"/>
      <c r="G1" s="94"/>
      <c r="H1" s="94"/>
      <c r="I1" s="94"/>
    </row>
    <row r="2" spans="1:7" s="3" customFormat="1" ht="15.75">
      <c r="A2" s="35"/>
      <c r="B2" s="1"/>
      <c r="C2" s="1"/>
      <c r="D2" s="1"/>
      <c r="E2" s="95" t="s">
        <v>257</v>
      </c>
      <c r="F2" s="95"/>
      <c r="G2" s="95"/>
    </row>
    <row r="3" spans="1:7" s="3" customFormat="1" ht="29.25" customHeight="1">
      <c r="A3" s="96" t="s">
        <v>58</v>
      </c>
      <c r="B3" s="97"/>
      <c r="C3" s="97"/>
      <c r="D3" s="97"/>
      <c r="E3" s="97"/>
      <c r="F3" s="97"/>
      <c r="G3" s="97"/>
    </row>
    <row r="4" spans="1:7" s="3" customFormat="1" ht="15.75">
      <c r="A4" s="35"/>
      <c r="B4" s="97" t="s">
        <v>345</v>
      </c>
      <c r="C4" s="97"/>
      <c r="D4" s="97"/>
      <c r="E4" s="97"/>
      <c r="F4" s="97"/>
      <c r="G4" s="97"/>
    </row>
    <row r="5" spans="1:7" s="3" customFormat="1" ht="15.75">
      <c r="A5" s="35"/>
      <c r="B5" s="1"/>
      <c r="C5" s="1"/>
      <c r="D5" s="1"/>
      <c r="E5" s="2"/>
      <c r="F5" s="1"/>
      <c r="G5" s="1"/>
    </row>
    <row r="6" spans="1:9" s="3" customFormat="1" ht="32.25" customHeight="1">
      <c r="A6" s="99" t="s">
        <v>242</v>
      </c>
      <c r="B6" s="99"/>
      <c r="C6" s="99"/>
      <c r="D6" s="99"/>
      <c r="E6" s="99"/>
      <c r="F6" s="99"/>
      <c r="G6" s="99"/>
      <c r="H6" s="99"/>
      <c r="I6" s="99"/>
    </row>
    <row r="7" spans="1:7" s="3" customFormat="1" ht="15.75">
      <c r="A7" s="95"/>
      <c r="B7" s="95"/>
      <c r="C7" s="95"/>
      <c r="D7" s="95"/>
      <c r="E7" s="95"/>
      <c r="F7" s="95"/>
      <c r="G7" s="4"/>
    </row>
    <row r="8" spans="1:9" s="3" customFormat="1" ht="15.75">
      <c r="A8" s="35"/>
      <c r="I8" s="1" t="s">
        <v>43</v>
      </c>
    </row>
    <row r="9" spans="1:9" s="3" customFormat="1" ht="64.5" customHeight="1">
      <c r="A9" s="48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6">
        <v>2007</v>
      </c>
      <c r="G9" s="7" t="s">
        <v>190</v>
      </c>
      <c r="H9" s="7" t="s">
        <v>221</v>
      </c>
      <c r="I9" s="7" t="s">
        <v>243</v>
      </c>
    </row>
    <row r="10" spans="1:9" s="3" customFormat="1" ht="15.75">
      <c r="A10" s="4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6</v>
      </c>
      <c r="H10" s="8">
        <v>7</v>
      </c>
      <c r="I10" s="8">
        <v>8</v>
      </c>
    </row>
    <row r="11" spans="1:9" s="3" customFormat="1" ht="15.75">
      <c r="A11" s="33"/>
      <c r="B11" s="8"/>
      <c r="C11" s="8"/>
      <c r="D11" s="8"/>
      <c r="E11" s="8"/>
      <c r="F11" s="8"/>
      <c r="G11" s="8"/>
      <c r="H11" s="8"/>
      <c r="I11" s="8"/>
    </row>
    <row r="12" spans="1:9" s="3" customFormat="1" ht="15.75">
      <c r="A12" s="36" t="s">
        <v>5</v>
      </c>
      <c r="B12" s="9" t="s">
        <v>6</v>
      </c>
      <c r="C12" s="10"/>
      <c r="D12" s="10"/>
      <c r="E12" s="10"/>
      <c r="F12" s="11" t="e">
        <f>#REF!+F18+F28+#REF!+F83+F87</f>
        <v>#REF!</v>
      </c>
      <c r="G12" s="12">
        <f>G18+G28+G83+G87+G60+G64+G13</f>
        <v>59374.329999999994</v>
      </c>
      <c r="H12" s="12">
        <f>H18+H28+H83+H87+H60+H64+H13</f>
        <v>52744.99999999999</v>
      </c>
      <c r="I12" s="12">
        <f>I18+I28+I83+I87+I60+I64+I13</f>
        <v>52947.7</v>
      </c>
    </row>
    <row r="13" spans="1:9" s="56" customFormat="1" ht="47.25">
      <c r="A13" s="92" t="s">
        <v>262</v>
      </c>
      <c r="B13" s="27" t="s">
        <v>6</v>
      </c>
      <c r="C13" s="27" t="s">
        <v>7</v>
      </c>
      <c r="D13" s="30"/>
      <c r="E13" s="27"/>
      <c r="F13" s="28"/>
      <c r="G13" s="29">
        <f aca="true" t="shared" si="0" ref="G13:I14">G14</f>
        <v>1080.888</v>
      </c>
      <c r="H13" s="29">
        <f t="shared" si="0"/>
        <v>0</v>
      </c>
      <c r="I13" s="29">
        <f t="shared" si="0"/>
        <v>0</v>
      </c>
    </row>
    <row r="14" spans="1:9" s="3" customFormat="1" ht="31.5">
      <c r="A14" s="45" t="s">
        <v>66</v>
      </c>
      <c r="B14" s="24" t="s">
        <v>6</v>
      </c>
      <c r="C14" s="24" t="s">
        <v>7</v>
      </c>
      <c r="D14" s="19" t="s">
        <v>112</v>
      </c>
      <c r="E14" s="10"/>
      <c r="F14" s="11"/>
      <c r="G14" s="26">
        <f t="shared" si="0"/>
        <v>1080.888</v>
      </c>
      <c r="H14" s="26">
        <f t="shared" si="0"/>
        <v>0</v>
      </c>
      <c r="I14" s="26">
        <f t="shared" si="0"/>
        <v>0</v>
      </c>
    </row>
    <row r="15" spans="1:9" s="3" customFormat="1" ht="15.75">
      <c r="A15" s="91" t="s">
        <v>264</v>
      </c>
      <c r="B15" s="24" t="s">
        <v>6</v>
      </c>
      <c r="C15" s="24" t="s">
        <v>7</v>
      </c>
      <c r="D15" s="19" t="s">
        <v>263</v>
      </c>
      <c r="E15" s="10"/>
      <c r="F15" s="11"/>
      <c r="G15" s="26">
        <f>G16+G17</f>
        <v>1080.888</v>
      </c>
      <c r="H15" s="26">
        <f>H16+H17</f>
        <v>0</v>
      </c>
      <c r="I15" s="26">
        <f>I16+I17</f>
        <v>0</v>
      </c>
    </row>
    <row r="16" spans="1:9" s="3" customFormat="1" ht="31.5">
      <c r="A16" s="40" t="s">
        <v>145</v>
      </c>
      <c r="B16" s="24" t="s">
        <v>6</v>
      </c>
      <c r="C16" s="24" t="s">
        <v>7</v>
      </c>
      <c r="D16" s="19" t="s">
        <v>263</v>
      </c>
      <c r="E16" s="10" t="s">
        <v>68</v>
      </c>
      <c r="F16" s="11"/>
      <c r="G16" s="26">
        <f>830.175</f>
        <v>830.175</v>
      </c>
      <c r="H16" s="26"/>
      <c r="I16" s="26"/>
    </row>
    <row r="17" spans="1:9" s="3" customFormat="1" ht="63" customHeight="1">
      <c r="A17" s="40" t="s">
        <v>147</v>
      </c>
      <c r="B17" s="24" t="s">
        <v>6</v>
      </c>
      <c r="C17" s="24" t="s">
        <v>7</v>
      </c>
      <c r="D17" s="19" t="s">
        <v>263</v>
      </c>
      <c r="E17" s="10" t="s">
        <v>146</v>
      </c>
      <c r="F17" s="11"/>
      <c r="G17" s="26">
        <v>250.713</v>
      </c>
      <c r="H17" s="26"/>
      <c r="I17" s="26"/>
    </row>
    <row r="18" spans="1:9" s="3" customFormat="1" ht="78.75">
      <c r="A18" s="37" t="s">
        <v>8</v>
      </c>
      <c r="B18" s="13" t="s">
        <v>6</v>
      </c>
      <c r="C18" s="13" t="s">
        <v>9</v>
      </c>
      <c r="D18" s="13"/>
      <c r="E18" s="16"/>
      <c r="F18" s="17" t="e">
        <f>F22</f>
        <v>#REF!</v>
      </c>
      <c r="G18" s="18">
        <f aca="true" t="shared" si="1" ref="G18:I19">G19</f>
        <v>404.9000000000001</v>
      </c>
      <c r="H18" s="18">
        <f t="shared" si="1"/>
        <v>396.90000000000003</v>
      </c>
      <c r="I18" s="18">
        <f t="shared" si="1"/>
        <v>396.90000000000003</v>
      </c>
    </row>
    <row r="19" spans="1:9" s="3" customFormat="1" ht="31.5">
      <c r="A19" s="45" t="s">
        <v>66</v>
      </c>
      <c r="B19" s="19" t="s">
        <v>6</v>
      </c>
      <c r="C19" s="19" t="s">
        <v>9</v>
      </c>
      <c r="D19" s="19" t="s">
        <v>112</v>
      </c>
      <c r="E19" s="19"/>
      <c r="F19" s="17"/>
      <c r="G19" s="69">
        <f t="shared" si="1"/>
        <v>404.9000000000001</v>
      </c>
      <c r="H19" s="69">
        <f t="shared" si="1"/>
        <v>396.90000000000003</v>
      </c>
      <c r="I19" s="69">
        <f t="shared" si="1"/>
        <v>396.90000000000003</v>
      </c>
    </row>
    <row r="20" spans="1:9" s="3" customFormat="1" ht="47.25">
      <c r="A20" s="45" t="s">
        <v>69</v>
      </c>
      <c r="B20" s="19" t="s">
        <v>6</v>
      </c>
      <c r="C20" s="19" t="s">
        <v>9</v>
      </c>
      <c r="D20" s="19" t="s">
        <v>113</v>
      </c>
      <c r="E20" s="19"/>
      <c r="F20" s="17"/>
      <c r="G20" s="69">
        <f>G21+G22+G24+G25+G26+G23+G27</f>
        <v>404.9000000000001</v>
      </c>
      <c r="H20" s="69">
        <f>H21+H22+H24+H25+H26+H23+H27</f>
        <v>396.90000000000003</v>
      </c>
      <c r="I20" s="69">
        <f>I21+I22+I24+I25+I26+I23+I27</f>
        <v>396.90000000000003</v>
      </c>
    </row>
    <row r="21" spans="1:9" s="3" customFormat="1" ht="31.5">
      <c r="A21" s="40" t="s">
        <v>145</v>
      </c>
      <c r="B21" s="19" t="s">
        <v>6</v>
      </c>
      <c r="C21" s="19" t="s">
        <v>9</v>
      </c>
      <c r="D21" s="19" t="s">
        <v>113</v>
      </c>
      <c r="E21" s="19" t="s">
        <v>68</v>
      </c>
      <c r="F21" s="17"/>
      <c r="G21" s="69">
        <f>285.6+13+14.993</f>
        <v>313.593</v>
      </c>
      <c r="H21" s="69">
        <v>285.6</v>
      </c>
      <c r="I21" s="69">
        <v>285.6</v>
      </c>
    </row>
    <row r="22" spans="1:9" s="3" customFormat="1" ht="48.75" customHeight="1" hidden="1">
      <c r="A22" s="40" t="s">
        <v>70</v>
      </c>
      <c r="B22" s="19" t="s">
        <v>6</v>
      </c>
      <c r="C22" s="19" t="s">
        <v>9</v>
      </c>
      <c r="D22" s="19" t="s">
        <v>113</v>
      </c>
      <c r="E22" s="19" t="s">
        <v>72</v>
      </c>
      <c r="F22" s="17" t="e">
        <f>#REF!+#REF!</f>
        <v>#REF!</v>
      </c>
      <c r="G22" s="69"/>
      <c r="H22" s="69"/>
      <c r="I22" s="69"/>
    </row>
    <row r="23" spans="1:9" s="3" customFormat="1" ht="63.75" customHeight="1">
      <c r="A23" s="40" t="s">
        <v>147</v>
      </c>
      <c r="B23" s="19" t="s">
        <v>6</v>
      </c>
      <c r="C23" s="19" t="s">
        <v>9</v>
      </c>
      <c r="D23" s="19" t="s">
        <v>113</v>
      </c>
      <c r="E23" s="19" t="s">
        <v>146</v>
      </c>
      <c r="F23" s="17"/>
      <c r="G23" s="69">
        <f>86.3-0.1-0.05-0.05-6.676</f>
        <v>79.424</v>
      </c>
      <c r="H23" s="69">
        <v>86.3</v>
      </c>
      <c r="I23" s="69">
        <v>86.3</v>
      </c>
    </row>
    <row r="24" spans="1:9" s="3" customFormat="1" ht="31.5">
      <c r="A24" s="40" t="s">
        <v>71</v>
      </c>
      <c r="B24" s="19" t="s">
        <v>6</v>
      </c>
      <c r="C24" s="19" t="s">
        <v>9</v>
      </c>
      <c r="D24" s="19" t="s">
        <v>113</v>
      </c>
      <c r="E24" s="54" t="s">
        <v>73</v>
      </c>
      <c r="F24" s="17" t="e">
        <f>#REF!</f>
        <v>#REF!</v>
      </c>
      <c r="G24" s="69">
        <f>20-8.318</f>
        <v>11.682</v>
      </c>
      <c r="H24" s="69">
        <v>25</v>
      </c>
      <c r="I24" s="69">
        <v>25</v>
      </c>
    </row>
    <row r="25" spans="1:9" s="3" customFormat="1" ht="31.5" hidden="1">
      <c r="A25" s="40" t="s">
        <v>75</v>
      </c>
      <c r="B25" s="19" t="s">
        <v>6</v>
      </c>
      <c r="C25" s="19" t="s">
        <v>9</v>
      </c>
      <c r="D25" s="19" t="s">
        <v>113</v>
      </c>
      <c r="E25" s="54" t="s">
        <v>77</v>
      </c>
      <c r="F25" s="17"/>
      <c r="G25" s="69"/>
      <c r="H25" s="69"/>
      <c r="I25" s="69"/>
    </row>
    <row r="26" spans="1:9" s="3" customFormat="1" ht="31.5" hidden="1">
      <c r="A26" s="40" t="s">
        <v>82</v>
      </c>
      <c r="B26" s="19" t="s">
        <v>6</v>
      </c>
      <c r="C26" s="19" t="s">
        <v>9</v>
      </c>
      <c r="D26" s="19" t="s">
        <v>113</v>
      </c>
      <c r="E26" s="54" t="s">
        <v>85</v>
      </c>
      <c r="F26" s="17"/>
      <c r="G26" s="69"/>
      <c r="H26" s="69"/>
      <c r="I26" s="69"/>
    </row>
    <row r="27" spans="1:9" s="3" customFormat="1" ht="15.75">
      <c r="A27" s="40" t="s">
        <v>214</v>
      </c>
      <c r="B27" s="19" t="s">
        <v>6</v>
      </c>
      <c r="C27" s="19" t="s">
        <v>9</v>
      </c>
      <c r="D27" s="19" t="s">
        <v>113</v>
      </c>
      <c r="E27" s="55" t="s">
        <v>212</v>
      </c>
      <c r="F27" s="17"/>
      <c r="G27" s="69">
        <f>0.1+0.05+0.05+0.001</f>
        <v>0.201</v>
      </c>
      <c r="H27" s="69"/>
      <c r="I27" s="69"/>
    </row>
    <row r="28" spans="1:9" s="3" customFormat="1" ht="78" customHeight="1">
      <c r="A28" s="49" t="s">
        <v>10</v>
      </c>
      <c r="B28" s="13" t="s">
        <v>6</v>
      </c>
      <c r="C28" s="13" t="s">
        <v>11</v>
      </c>
      <c r="D28" s="13"/>
      <c r="E28" s="13"/>
      <c r="F28" s="11" t="e">
        <f>#REF!</f>
        <v>#REF!</v>
      </c>
      <c r="G28" s="12">
        <f>G29</f>
        <v>17556.865000000005</v>
      </c>
      <c r="H28" s="12">
        <f>H29</f>
        <v>17347.399999999998</v>
      </c>
      <c r="I28" s="12">
        <f>I29</f>
        <v>17501.8</v>
      </c>
    </row>
    <row r="29" spans="1:9" s="3" customFormat="1" ht="31.5">
      <c r="A29" s="45" t="s">
        <v>66</v>
      </c>
      <c r="B29" s="10" t="s">
        <v>6</v>
      </c>
      <c r="C29" s="10" t="s">
        <v>11</v>
      </c>
      <c r="D29" s="10" t="s">
        <v>112</v>
      </c>
      <c r="E29" s="10"/>
      <c r="F29" s="11"/>
      <c r="G29" s="26">
        <f>G30+G39+G45+G50+G56</f>
        <v>17556.865000000005</v>
      </c>
      <c r="H29" s="26">
        <f>H30+H39+H45+H50+H56</f>
        <v>17347.399999999998</v>
      </c>
      <c r="I29" s="26">
        <f>I30+I39+I45+I50+I56</f>
        <v>17501.8</v>
      </c>
    </row>
    <row r="30" spans="1:9" s="3" customFormat="1" ht="47.25">
      <c r="A30" s="45" t="s">
        <v>69</v>
      </c>
      <c r="B30" s="10" t="s">
        <v>6</v>
      </c>
      <c r="C30" s="10" t="s">
        <v>11</v>
      </c>
      <c r="D30" s="10" t="s">
        <v>113</v>
      </c>
      <c r="E30" s="10"/>
      <c r="F30" s="11"/>
      <c r="G30" s="26">
        <f>G31+G32+G34+G36+G37+G33+G38+G35</f>
        <v>15612.565000000002</v>
      </c>
      <c r="H30" s="26">
        <f>H31+H32+H34+H36+H37+H33+H38+H35</f>
        <v>16375.6</v>
      </c>
      <c r="I30" s="26">
        <f>I31+I32+I34+I36+I37+I33+I38+I35</f>
        <v>16530</v>
      </c>
    </row>
    <row r="31" spans="1:9" s="3" customFormat="1" ht="31.5">
      <c r="A31" s="40" t="s">
        <v>148</v>
      </c>
      <c r="B31" s="10" t="s">
        <v>6</v>
      </c>
      <c r="C31" s="10" t="s">
        <v>11</v>
      </c>
      <c r="D31" s="10" t="s">
        <v>113</v>
      </c>
      <c r="E31" s="55" t="s">
        <v>68</v>
      </c>
      <c r="F31" s="11"/>
      <c r="G31" s="26">
        <f>11886.2-830.175+500</f>
        <v>11556.025000000001</v>
      </c>
      <c r="H31" s="26">
        <v>11886</v>
      </c>
      <c r="I31" s="26">
        <v>11886</v>
      </c>
    </row>
    <row r="32" spans="1:9" s="3" customFormat="1" ht="48.75" customHeight="1">
      <c r="A32" s="40" t="s">
        <v>70</v>
      </c>
      <c r="B32" s="10" t="s">
        <v>6</v>
      </c>
      <c r="C32" s="10" t="s">
        <v>11</v>
      </c>
      <c r="D32" s="10" t="s">
        <v>113</v>
      </c>
      <c r="E32" s="55" t="s">
        <v>72</v>
      </c>
      <c r="F32" s="11"/>
      <c r="G32" s="26">
        <f>1.8+2.113+1.205+1.934+1.544+10.727+0.2</f>
        <v>19.523</v>
      </c>
      <c r="H32" s="26"/>
      <c r="I32" s="26"/>
    </row>
    <row r="33" spans="1:9" s="3" customFormat="1" ht="48.75" customHeight="1">
      <c r="A33" s="40" t="s">
        <v>147</v>
      </c>
      <c r="B33" s="10" t="s">
        <v>6</v>
      </c>
      <c r="C33" s="10" t="s">
        <v>11</v>
      </c>
      <c r="D33" s="10" t="s">
        <v>113</v>
      </c>
      <c r="E33" s="55" t="s">
        <v>146</v>
      </c>
      <c r="F33" s="11"/>
      <c r="G33" s="26">
        <f>3589.6-250.713-1.934-10.727-500</f>
        <v>2826.2259999999997</v>
      </c>
      <c r="H33" s="26">
        <v>3589.6</v>
      </c>
      <c r="I33" s="26">
        <v>3589.6</v>
      </c>
    </row>
    <row r="34" spans="1:9" s="3" customFormat="1" ht="47.25">
      <c r="A34" s="45" t="s">
        <v>74</v>
      </c>
      <c r="B34" s="10" t="s">
        <v>6</v>
      </c>
      <c r="C34" s="10" t="s">
        <v>11</v>
      </c>
      <c r="D34" s="10" t="s">
        <v>113</v>
      </c>
      <c r="E34" s="55" t="s">
        <v>73</v>
      </c>
      <c r="F34" s="11"/>
      <c r="G34" s="26">
        <f>850+68.526-0.25</f>
        <v>918.276</v>
      </c>
      <c r="H34" s="26">
        <v>841.4</v>
      </c>
      <c r="I34" s="26">
        <v>995.8</v>
      </c>
    </row>
    <row r="35" spans="1:9" s="3" customFormat="1" ht="47.25" hidden="1">
      <c r="A35" s="76" t="s">
        <v>231</v>
      </c>
      <c r="B35" s="10" t="s">
        <v>6</v>
      </c>
      <c r="C35" s="10" t="s">
        <v>11</v>
      </c>
      <c r="D35" s="10" t="s">
        <v>113</v>
      </c>
      <c r="E35" s="55" t="s">
        <v>86</v>
      </c>
      <c r="F35" s="11"/>
      <c r="G35" s="26"/>
      <c r="H35" s="26"/>
      <c r="I35" s="26"/>
    </row>
    <row r="36" spans="1:9" s="3" customFormat="1" ht="31.5">
      <c r="A36" s="45" t="s">
        <v>75</v>
      </c>
      <c r="B36" s="10" t="s">
        <v>6</v>
      </c>
      <c r="C36" s="10" t="s">
        <v>11</v>
      </c>
      <c r="D36" s="10" t="s">
        <v>113</v>
      </c>
      <c r="E36" s="55" t="s">
        <v>77</v>
      </c>
      <c r="F36" s="11"/>
      <c r="G36" s="26">
        <f>33.6-1.216</f>
        <v>32.384</v>
      </c>
      <c r="H36" s="26">
        <v>33.6</v>
      </c>
      <c r="I36" s="26">
        <v>33.6</v>
      </c>
    </row>
    <row r="37" spans="1:9" s="3" customFormat="1" ht="31.5">
      <c r="A37" s="40" t="s">
        <v>82</v>
      </c>
      <c r="B37" s="10" t="s">
        <v>6</v>
      </c>
      <c r="C37" s="10" t="s">
        <v>11</v>
      </c>
      <c r="D37" s="10" t="s">
        <v>113</v>
      </c>
      <c r="E37" s="55" t="s">
        <v>85</v>
      </c>
      <c r="F37" s="11"/>
      <c r="G37" s="26">
        <f>139.254+0.8+1.6+36.312</f>
        <v>177.966</v>
      </c>
      <c r="H37" s="26"/>
      <c r="I37" s="26"/>
    </row>
    <row r="38" spans="1:9" s="3" customFormat="1" ht="15.75">
      <c r="A38" s="40" t="s">
        <v>214</v>
      </c>
      <c r="B38" s="10" t="s">
        <v>6</v>
      </c>
      <c r="C38" s="10" t="s">
        <v>11</v>
      </c>
      <c r="D38" s="10" t="s">
        <v>113</v>
      </c>
      <c r="E38" s="55" t="s">
        <v>212</v>
      </c>
      <c r="F38" s="11"/>
      <c r="G38" s="26">
        <f>25-0.8-3.713-1.205+36.595+5.066+1.216+20+0.006</f>
        <v>82.16499999999999</v>
      </c>
      <c r="H38" s="26">
        <v>25</v>
      </c>
      <c r="I38" s="26">
        <v>25</v>
      </c>
    </row>
    <row r="39" spans="1:9" s="3" customFormat="1" ht="47.25">
      <c r="A39" s="40" t="s">
        <v>273</v>
      </c>
      <c r="B39" s="10" t="s">
        <v>6</v>
      </c>
      <c r="C39" s="10" t="s">
        <v>11</v>
      </c>
      <c r="D39" s="10" t="s">
        <v>114</v>
      </c>
      <c r="E39" s="10"/>
      <c r="F39" s="11"/>
      <c r="G39" s="26">
        <f>G40+G41+G44+G41+G42+G43</f>
        <v>295.90000000000003</v>
      </c>
      <c r="H39" s="26">
        <f>H40+H41+H44+H41+H42+H43</f>
        <v>148</v>
      </c>
      <c r="I39" s="26">
        <f>I40+I41+I44+I41+I42+I43</f>
        <v>148</v>
      </c>
    </row>
    <row r="40" spans="1:9" s="3" customFormat="1" ht="47.25">
      <c r="A40" s="40" t="s">
        <v>67</v>
      </c>
      <c r="B40" s="10" t="s">
        <v>6</v>
      </c>
      <c r="C40" s="10" t="s">
        <v>11</v>
      </c>
      <c r="D40" s="10" t="s">
        <v>114</v>
      </c>
      <c r="E40" s="10" t="s">
        <v>68</v>
      </c>
      <c r="F40" s="11"/>
      <c r="G40" s="26">
        <f>116+49.3+43.5</f>
        <v>208.8</v>
      </c>
      <c r="H40" s="26">
        <v>116</v>
      </c>
      <c r="I40" s="26">
        <v>116</v>
      </c>
    </row>
    <row r="41" spans="1:9" s="3" customFormat="1" ht="48.75" customHeight="1" hidden="1">
      <c r="A41" s="40" t="s">
        <v>70</v>
      </c>
      <c r="B41" s="10" t="s">
        <v>6</v>
      </c>
      <c r="C41" s="10" t="s">
        <v>11</v>
      </c>
      <c r="D41" s="10" t="s">
        <v>114</v>
      </c>
      <c r="E41" s="10" t="s">
        <v>72</v>
      </c>
      <c r="F41" s="11"/>
      <c r="G41" s="26"/>
      <c r="H41" s="26"/>
      <c r="I41" s="26"/>
    </row>
    <row r="42" spans="1:9" s="3" customFormat="1" ht="48.75" customHeight="1">
      <c r="A42" s="40" t="s">
        <v>147</v>
      </c>
      <c r="B42" s="10" t="s">
        <v>6</v>
      </c>
      <c r="C42" s="10" t="s">
        <v>11</v>
      </c>
      <c r="D42" s="10" t="s">
        <v>114</v>
      </c>
      <c r="E42" s="10" t="s">
        <v>146</v>
      </c>
      <c r="F42" s="11"/>
      <c r="G42" s="26">
        <f>32+24.5+0.2+3.4</f>
        <v>60.1</v>
      </c>
      <c r="H42" s="26">
        <v>32</v>
      </c>
      <c r="I42" s="26">
        <v>32</v>
      </c>
    </row>
    <row r="43" spans="1:9" s="3" customFormat="1" ht="48.75" customHeight="1" hidden="1">
      <c r="A43" s="40" t="s">
        <v>203</v>
      </c>
      <c r="B43" s="10" t="s">
        <v>6</v>
      </c>
      <c r="C43" s="10" t="s">
        <v>11</v>
      </c>
      <c r="D43" s="10" t="s">
        <v>114</v>
      </c>
      <c r="E43" s="10" t="s">
        <v>202</v>
      </c>
      <c r="F43" s="11"/>
      <c r="G43" s="26"/>
      <c r="H43" s="26"/>
      <c r="I43" s="26"/>
    </row>
    <row r="44" spans="1:9" s="3" customFormat="1" ht="47.25">
      <c r="A44" s="45" t="s">
        <v>74</v>
      </c>
      <c r="B44" s="10" t="s">
        <v>6</v>
      </c>
      <c r="C44" s="10" t="s">
        <v>11</v>
      </c>
      <c r="D44" s="10" t="s">
        <v>114</v>
      </c>
      <c r="E44" s="55" t="s">
        <v>73</v>
      </c>
      <c r="F44" s="11"/>
      <c r="G44" s="26">
        <v>27</v>
      </c>
      <c r="H44" s="26"/>
      <c r="I44" s="26"/>
    </row>
    <row r="45" spans="1:9" s="3" customFormat="1" ht="31.5">
      <c r="A45" s="40" t="s">
        <v>274</v>
      </c>
      <c r="B45" s="10" t="s">
        <v>6</v>
      </c>
      <c r="C45" s="10" t="s">
        <v>11</v>
      </c>
      <c r="D45" s="10" t="s">
        <v>115</v>
      </c>
      <c r="E45" s="10"/>
      <c r="F45" s="11"/>
      <c r="G45" s="26">
        <f>G49+G46+G47+G48</f>
        <v>1050</v>
      </c>
      <c r="H45" s="26">
        <f>H49+H46+H47+H48</f>
        <v>525</v>
      </c>
      <c r="I45" s="26">
        <f>I49+I46+I47+I48</f>
        <v>525</v>
      </c>
    </row>
    <row r="46" spans="1:9" s="3" customFormat="1" ht="47.25">
      <c r="A46" s="51" t="s">
        <v>67</v>
      </c>
      <c r="B46" s="10" t="s">
        <v>6</v>
      </c>
      <c r="C46" s="10" t="s">
        <v>11</v>
      </c>
      <c r="D46" s="10" t="s">
        <v>115</v>
      </c>
      <c r="E46" s="10" t="s">
        <v>68</v>
      </c>
      <c r="F46" s="11"/>
      <c r="G46" s="26">
        <f>351+49+24</f>
        <v>424</v>
      </c>
      <c r="H46" s="26">
        <v>351</v>
      </c>
      <c r="I46" s="26">
        <v>351</v>
      </c>
    </row>
    <row r="47" spans="1:9" s="3" customFormat="1" ht="52.5" customHeight="1" hidden="1">
      <c r="A47" s="51" t="s">
        <v>70</v>
      </c>
      <c r="B47" s="10" t="s">
        <v>6</v>
      </c>
      <c r="C47" s="10" t="s">
        <v>11</v>
      </c>
      <c r="D47" s="10" t="s">
        <v>115</v>
      </c>
      <c r="E47" s="10" t="s">
        <v>72</v>
      </c>
      <c r="F47" s="11"/>
      <c r="G47" s="26"/>
      <c r="H47" s="26"/>
      <c r="I47" s="26"/>
    </row>
    <row r="48" spans="1:9" s="3" customFormat="1" ht="52.5" customHeight="1">
      <c r="A48" s="40" t="s">
        <v>147</v>
      </c>
      <c r="B48" s="10" t="s">
        <v>6</v>
      </c>
      <c r="C48" s="10" t="s">
        <v>11</v>
      </c>
      <c r="D48" s="10" t="s">
        <v>115</v>
      </c>
      <c r="E48" s="10" t="s">
        <v>146</v>
      </c>
      <c r="F48" s="11"/>
      <c r="G48" s="26">
        <f>106+15+7</f>
        <v>128</v>
      </c>
      <c r="H48" s="26">
        <v>106</v>
      </c>
      <c r="I48" s="26">
        <v>106</v>
      </c>
    </row>
    <row r="49" spans="1:9" s="3" customFormat="1" ht="47.25">
      <c r="A49" s="45" t="s">
        <v>74</v>
      </c>
      <c r="B49" s="10" t="s">
        <v>6</v>
      </c>
      <c r="C49" s="10" t="s">
        <v>11</v>
      </c>
      <c r="D49" s="10" t="s">
        <v>115</v>
      </c>
      <c r="E49" s="55" t="s">
        <v>73</v>
      </c>
      <c r="F49" s="11"/>
      <c r="G49" s="26">
        <f>68+65.6+364.4</f>
        <v>498</v>
      </c>
      <c r="H49" s="26">
        <v>68</v>
      </c>
      <c r="I49" s="26">
        <v>68</v>
      </c>
    </row>
    <row r="50" spans="1:9" s="3" customFormat="1" ht="63">
      <c r="A50" s="40" t="s">
        <v>275</v>
      </c>
      <c r="B50" s="10" t="s">
        <v>6</v>
      </c>
      <c r="C50" s="10" t="s">
        <v>11</v>
      </c>
      <c r="D50" s="10" t="s">
        <v>116</v>
      </c>
      <c r="E50" s="10"/>
      <c r="F50" s="11"/>
      <c r="G50" s="26">
        <f>G55+G51+G52+G54+G53</f>
        <v>328.2</v>
      </c>
      <c r="H50" s="26">
        <f>H55+H51+H52+H54+H53</f>
        <v>164.1</v>
      </c>
      <c r="I50" s="26">
        <f>I55+I51+I52+I54+I53</f>
        <v>164.1</v>
      </c>
    </row>
    <row r="51" spans="1:9" s="3" customFormat="1" ht="47.25">
      <c r="A51" s="51" t="s">
        <v>67</v>
      </c>
      <c r="B51" s="10" t="s">
        <v>6</v>
      </c>
      <c r="C51" s="10" t="s">
        <v>11</v>
      </c>
      <c r="D51" s="10" t="s">
        <v>116</v>
      </c>
      <c r="E51" s="10" t="s">
        <v>68</v>
      </c>
      <c r="F51" s="11"/>
      <c r="G51" s="26">
        <f>129+54.7+53.256-13.256-12-1.1</f>
        <v>210.6</v>
      </c>
      <c r="H51" s="26">
        <v>129</v>
      </c>
      <c r="I51" s="26">
        <v>129</v>
      </c>
    </row>
    <row r="52" spans="1:9" s="3" customFormat="1" ht="49.5" customHeight="1">
      <c r="A52" s="51" t="s">
        <v>70</v>
      </c>
      <c r="B52" s="10" t="s">
        <v>6</v>
      </c>
      <c r="C52" s="10" t="s">
        <v>11</v>
      </c>
      <c r="D52" s="10" t="s">
        <v>116</v>
      </c>
      <c r="E52" s="10" t="s">
        <v>72</v>
      </c>
      <c r="F52" s="11"/>
      <c r="G52" s="26">
        <f>1.5+1.75</f>
        <v>3.25</v>
      </c>
      <c r="H52" s="26"/>
      <c r="I52" s="26"/>
    </row>
    <row r="53" spans="1:9" s="3" customFormat="1" ht="78.75">
      <c r="A53" s="40" t="s">
        <v>339</v>
      </c>
      <c r="B53" s="10" t="s">
        <v>6</v>
      </c>
      <c r="C53" s="10" t="s">
        <v>11</v>
      </c>
      <c r="D53" s="10" t="s">
        <v>116</v>
      </c>
      <c r="E53" s="10" t="s">
        <v>338</v>
      </c>
      <c r="F53" s="11"/>
      <c r="G53" s="26">
        <v>1.65</v>
      </c>
      <c r="H53" s="26"/>
      <c r="I53" s="26"/>
    </row>
    <row r="54" spans="1:9" s="3" customFormat="1" ht="49.5" customHeight="1">
      <c r="A54" s="40" t="s">
        <v>147</v>
      </c>
      <c r="B54" s="10" t="s">
        <v>6</v>
      </c>
      <c r="C54" s="10" t="s">
        <v>11</v>
      </c>
      <c r="D54" s="10" t="s">
        <v>116</v>
      </c>
      <c r="E54" s="10" t="s">
        <v>146</v>
      </c>
      <c r="F54" s="11"/>
      <c r="G54" s="26">
        <f>35.1-2.17+32.5+12</f>
        <v>77.43</v>
      </c>
      <c r="H54" s="26">
        <v>35.1</v>
      </c>
      <c r="I54" s="26">
        <v>35.1</v>
      </c>
    </row>
    <row r="55" spans="1:9" s="3" customFormat="1" ht="47.25">
      <c r="A55" s="45" t="s">
        <v>74</v>
      </c>
      <c r="B55" s="10" t="s">
        <v>6</v>
      </c>
      <c r="C55" s="10" t="s">
        <v>11</v>
      </c>
      <c r="D55" s="10" t="s">
        <v>116</v>
      </c>
      <c r="E55" s="55" t="s">
        <v>73</v>
      </c>
      <c r="F55" s="11"/>
      <c r="G55" s="26">
        <f>2.17+22.144+11.506-1.65+1.1</f>
        <v>35.27</v>
      </c>
      <c r="H55" s="26"/>
      <c r="I55" s="26"/>
    </row>
    <row r="56" spans="1:9" s="3" customFormat="1" ht="63">
      <c r="A56" s="40" t="s">
        <v>276</v>
      </c>
      <c r="B56" s="10" t="s">
        <v>6</v>
      </c>
      <c r="C56" s="10" t="s">
        <v>11</v>
      </c>
      <c r="D56" s="10" t="s">
        <v>117</v>
      </c>
      <c r="E56" s="10"/>
      <c r="F56" s="11"/>
      <c r="G56" s="26">
        <f>G59+G57+G58</f>
        <v>270.2</v>
      </c>
      <c r="H56" s="26">
        <f>H59+H57+H58</f>
        <v>134.7</v>
      </c>
      <c r="I56" s="26">
        <f>I59+I57+I58</f>
        <v>134.7</v>
      </c>
    </row>
    <row r="57" spans="1:9" s="3" customFormat="1" ht="53.25" customHeight="1">
      <c r="A57" s="51" t="s">
        <v>70</v>
      </c>
      <c r="B57" s="10" t="s">
        <v>6</v>
      </c>
      <c r="C57" s="10" t="s">
        <v>11</v>
      </c>
      <c r="D57" s="10" t="s">
        <v>117</v>
      </c>
      <c r="E57" s="10" t="s">
        <v>72</v>
      </c>
      <c r="F57" s="11"/>
      <c r="G57" s="26">
        <f>1.506</f>
        <v>1.506</v>
      </c>
      <c r="H57" s="26"/>
      <c r="I57" s="26"/>
    </row>
    <row r="58" spans="1:9" s="3" customFormat="1" ht="51.75" customHeight="1" hidden="1">
      <c r="A58" s="40" t="s">
        <v>147</v>
      </c>
      <c r="B58" s="10" t="s">
        <v>6</v>
      </c>
      <c r="C58" s="10" t="s">
        <v>11</v>
      </c>
      <c r="D58" s="10" t="s">
        <v>117</v>
      </c>
      <c r="E58" s="10" t="s">
        <v>146</v>
      </c>
      <c r="F58" s="11"/>
      <c r="G58" s="26"/>
      <c r="H58" s="26"/>
      <c r="I58" s="26"/>
    </row>
    <row r="59" spans="1:9" s="3" customFormat="1" ht="47.25">
      <c r="A59" s="45" t="s">
        <v>74</v>
      </c>
      <c r="B59" s="10" t="s">
        <v>6</v>
      </c>
      <c r="C59" s="10" t="s">
        <v>11</v>
      </c>
      <c r="D59" s="10" t="s">
        <v>117</v>
      </c>
      <c r="E59" s="55" t="s">
        <v>73</v>
      </c>
      <c r="F59" s="11"/>
      <c r="G59" s="26">
        <f>134.7+135.5-1.506</f>
        <v>268.694</v>
      </c>
      <c r="H59" s="26">
        <v>134.7</v>
      </c>
      <c r="I59" s="26">
        <v>134.7</v>
      </c>
    </row>
    <row r="60" spans="1:9" s="56" customFormat="1" ht="15.75" customHeight="1">
      <c r="A60" s="49" t="s">
        <v>44</v>
      </c>
      <c r="B60" s="27" t="s">
        <v>6</v>
      </c>
      <c r="C60" s="27" t="s">
        <v>20</v>
      </c>
      <c r="D60" s="27"/>
      <c r="E60" s="27"/>
      <c r="F60" s="28" t="e">
        <f>F61</f>
        <v>#REF!</v>
      </c>
      <c r="G60" s="29">
        <f>G61</f>
        <v>82.1</v>
      </c>
      <c r="H60" s="29">
        <f>H61</f>
        <v>5.6</v>
      </c>
      <c r="I60" s="29">
        <f>I61</f>
        <v>9.1</v>
      </c>
    </row>
    <row r="61" spans="1:9" s="3" customFormat="1" ht="31.5">
      <c r="A61" s="45" t="s">
        <v>66</v>
      </c>
      <c r="B61" s="10" t="s">
        <v>6</v>
      </c>
      <c r="C61" s="10" t="s">
        <v>20</v>
      </c>
      <c r="D61" s="10" t="s">
        <v>112</v>
      </c>
      <c r="E61" s="10"/>
      <c r="F61" s="14" t="e">
        <f>#REF!</f>
        <v>#REF!</v>
      </c>
      <c r="G61" s="15">
        <f aca="true" t="shared" si="2" ref="G61:I62">G62</f>
        <v>82.1</v>
      </c>
      <c r="H61" s="15">
        <f t="shared" si="2"/>
        <v>5.6</v>
      </c>
      <c r="I61" s="15">
        <f t="shared" si="2"/>
        <v>9.1</v>
      </c>
    </row>
    <row r="62" spans="1:9" s="3" customFormat="1" ht="78.75">
      <c r="A62" s="63" t="s">
        <v>277</v>
      </c>
      <c r="B62" s="19" t="s">
        <v>6</v>
      </c>
      <c r="C62" s="19" t="s">
        <v>20</v>
      </c>
      <c r="D62" s="19" t="s">
        <v>196</v>
      </c>
      <c r="E62" s="19"/>
      <c r="F62" s="21"/>
      <c r="G62" s="15">
        <f t="shared" si="2"/>
        <v>82.1</v>
      </c>
      <c r="H62" s="15">
        <f t="shared" si="2"/>
        <v>5.6</v>
      </c>
      <c r="I62" s="15">
        <f t="shared" si="2"/>
        <v>9.1</v>
      </c>
    </row>
    <row r="63" spans="1:9" s="3" customFormat="1" ht="47.25">
      <c r="A63" s="45" t="s">
        <v>74</v>
      </c>
      <c r="B63" s="19" t="s">
        <v>6</v>
      </c>
      <c r="C63" s="19" t="s">
        <v>20</v>
      </c>
      <c r="D63" s="19" t="s">
        <v>196</v>
      </c>
      <c r="E63" s="19" t="s">
        <v>73</v>
      </c>
      <c r="F63" s="21"/>
      <c r="G63" s="15">
        <f>83.8-1.7</f>
        <v>82.1</v>
      </c>
      <c r="H63" s="15">
        <v>5.6</v>
      </c>
      <c r="I63" s="15">
        <v>9.1</v>
      </c>
    </row>
    <row r="64" spans="1:9" s="56" customFormat="1" ht="65.25" customHeight="1">
      <c r="A64" s="49" t="s">
        <v>53</v>
      </c>
      <c r="B64" s="27" t="s">
        <v>6</v>
      </c>
      <c r="C64" s="27" t="s">
        <v>26</v>
      </c>
      <c r="D64" s="27"/>
      <c r="E64" s="27"/>
      <c r="F64" s="28" t="e">
        <f>#REF!</f>
        <v>#REF!</v>
      </c>
      <c r="G64" s="29">
        <f>G65+G77</f>
        <v>4212.647</v>
      </c>
      <c r="H64" s="29">
        <f>H65+H77</f>
        <v>3936.7</v>
      </c>
      <c r="I64" s="29">
        <f>I65+I77</f>
        <v>4015.1</v>
      </c>
    </row>
    <row r="65" spans="1:9" s="56" customFormat="1" ht="31.5">
      <c r="A65" s="45" t="s">
        <v>66</v>
      </c>
      <c r="B65" s="10" t="s">
        <v>6</v>
      </c>
      <c r="C65" s="10" t="s">
        <v>26</v>
      </c>
      <c r="D65" s="10" t="s">
        <v>112</v>
      </c>
      <c r="E65" s="27"/>
      <c r="F65" s="28"/>
      <c r="G65" s="26">
        <f>G66+G73</f>
        <v>3884.147</v>
      </c>
      <c r="H65" s="26">
        <f>H66+H73</f>
        <v>3936.7</v>
      </c>
      <c r="I65" s="26">
        <f>I66+I73</f>
        <v>4015.1</v>
      </c>
    </row>
    <row r="66" spans="1:9" s="56" customFormat="1" ht="47.25">
      <c r="A66" s="45" t="s">
        <v>69</v>
      </c>
      <c r="B66" s="10" t="s">
        <v>6</v>
      </c>
      <c r="C66" s="10" t="s">
        <v>26</v>
      </c>
      <c r="D66" s="10" t="s">
        <v>113</v>
      </c>
      <c r="E66" s="10"/>
      <c r="F66" s="28"/>
      <c r="G66" s="26">
        <f>G67+G68+G70+G71+G69+G72</f>
        <v>3095.369</v>
      </c>
      <c r="H66" s="26">
        <f>H67+H68+H70+H71+H69+H72</f>
        <v>3189.2999999999997</v>
      </c>
      <c r="I66" s="26">
        <f>I67+I68+I70+I71+I69+I72</f>
        <v>3267.7</v>
      </c>
    </row>
    <row r="67" spans="1:9" s="56" customFormat="1" ht="47.25">
      <c r="A67" s="40" t="s">
        <v>67</v>
      </c>
      <c r="B67" s="10" t="s">
        <v>6</v>
      </c>
      <c r="C67" s="10" t="s">
        <v>26</v>
      </c>
      <c r="D67" s="10" t="s">
        <v>113</v>
      </c>
      <c r="E67" s="55" t="s">
        <v>68</v>
      </c>
      <c r="F67" s="28"/>
      <c r="G67" s="26">
        <f>2149.3+47.25-1.066+65</f>
        <v>2260.4840000000004</v>
      </c>
      <c r="H67" s="26">
        <v>2149.2</v>
      </c>
      <c r="I67" s="26">
        <v>2149.2</v>
      </c>
    </row>
    <row r="68" spans="1:9" s="56" customFormat="1" ht="53.25" customHeight="1">
      <c r="A68" s="40" t="s">
        <v>70</v>
      </c>
      <c r="B68" s="10" t="s">
        <v>6</v>
      </c>
      <c r="C68" s="10" t="s">
        <v>26</v>
      </c>
      <c r="D68" s="10" t="s">
        <v>113</v>
      </c>
      <c r="E68" s="55" t="s">
        <v>72</v>
      </c>
      <c r="F68" s="28"/>
      <c r="G68" s="26">
        <f>19.4-2.3-0.2+1.258-16.9+1.506+0.133+0.05</f>
        <v>2.946999999999999</v>
      </c>
      <c r="H68" s="26">
        <v>19.4</v>
      </c>
      <c r="I68" s="26">
        <v>19.4</v>
      </c>
    </row>
    <row r="69" spans="1:9" s="56" customFormat="1" ht="53.25" customHeight="1">
      <c r="A69" s="40" t="s">
        <v>147</v>
      </c>
      <c r="B69" s="10" t="s">
        <v>6</v>
      </c>
      <c r="C69" s="10" t="s">
        <v>26</v>
      </c>
      <c r="D69" s="10" t="s">
        <v>113</v>
      </c>
      <c r="E69" s="55" t="s">
        <v>146</v>
      </c>
      <c r="F69" s="28"/>
      <c r="G69" s="26">
        <f>649.1+14.27-0.322-24.14-65</f>
        <v>573.908</v>
      </c>
      <c r="H69" s="26">
        <v>649.1</v>
      </c>
      <c r="I69" s="26">
        <v>649.1</v>
      </c>
    </row>
    <row r="70" spans="1:9" s="56" customFormat="1" ht="47.25">
      <c r="A70" s="45" t="s">
        <v>74</v>
      </c>
      <c r="B70" s="10" t="s">
        <v>6</v>
      </c>
      <c r="C70" s="10" t="s">
        <v>26</v>
      </c>
      <c r="D70" s="10" t="s">
        <v>113</v>
      </c>
      <c r="E70" s="55" t="s">
        <v>73</v>
      </c>
      <c r="F70" s="28"/>
      <c r="G70" s="26">
        <f>210+50+3.688+24.14-29.7-0.098</f>
        <v>258.03</v>
      </c>
      <c r="H70" s="26">
        <v>371.6</v>
      </c>
      <c r="I70" s="26">
        <f>300+150</f>
        <v>450</v>
      </c>
    </row>
    <row r="71" spans="1:9" s="56" customFormat="1" ht="31.5">
      <c r="A71" s="45" t="s">
        <v>82</v>
      </c>
      <c r="B71" s="10" t="s">
        <v>6</v>
      </c>
      <c r="C71" s="10" t="s">
        <v>26</v>
      </c>
      <c r="D71" s="10" t="s">
        <v>113</v>
      </c>
      <c r="E71" s="55" t="s">
        <v>85</v>
      </c>
      <c r="F71" s="28"/>
      <c r="G71" s="26"/>
      <c r="H71" s="26"/>
      <c r="I71" s="26"/>
    </row>
    <row r="72" spans="1:9" s="56" customFormat="1" ht="15.75" hidden="1">
      <c r="A72" s="65" t="s">
        <v>214</v>
      </c>
      <c r="B72" s="10" t="s">
        <v>6</v>
      </c>
      <c r="C72" s="10" t="s">
        <v>26</v>
      </c>
      <c r="D72" s="10" t="s">
        <v>113</v>
      </c>
      <c r="E72" s="55" t="s">
        <v>212</v>
      </c>
      <c r="F72" s="28"/>
      <c r="G72" s="26"/>
      <c r="H72" s="26"/>
      <c r="I72" s="26"/>
    </row>
    <row r="73" spans="1:9" s="56" customFormat="1" ht="31.5">
      <c r="A73" s="60" t="s">
        <v>54</v>
      </c>
      <c r="B73" s="10" t="s">
        <v>6</v>
      </c>
      <c r="C73" s="10" t="s">
        <v>26</v>
      </c>
      <c r="D73" s="10" t="s">
        <v>118</v>
      </c>
      <c r="E73" s="10"/>
      <c r="F73" s="28"/>
      <c r="G73" s="26">
        <f>G74+G75+G76</f>
        <v>788.778</v>
      </c>
      <c r="H73" s="26">
        <f>H74+H75+H76</f>
        <v>747.4</v>
      </c>
      <c r="I73" s="26">
        <f>I74+I75+I76</f>
        <v>747.4</v>
      </c>
    </row>
    <row r="74" spans="1:9" s="56" customFormat="1" ht="47.25">
      <c r="A74" s="40" t="s">
        <v>67</v>
      </c>
      <c r="B74" s="10" t="s">
        <v>6</v>
      </c>
      <c r="C74" s="10" t="s">
        <v>26</v>
      </c>
      <c r="D74" s="10" t="s">
        <v>118</v>
      </c>
      <c r="E74" s="10" t="s">
        <v>68</v>
      </c>
      <c r="F74" s="28"/>
      <c r="G74" s="26">
        <f>574-47.25+47.63+40.7+11.472</f>
        <v>626.552</v>
      </c>
      <c r="H74" s="26">
        <v>574</v>
      </c>
      <c r="I74" s="26">
        <v>574</v>
      </c>
    </row>
    <row r="75" spans="1:9" s="56" customFormat="1" ht="66.75" customHeight="1">
      <c r="A75" s="40" t="s">
        <v>147</v>
      </c>
      <c r="B75" s="10" t="s">
        <v>6</v>
      </c>
      <c r="C75" s="10" t="s">
        <v>26</v>
      </c>
      <c r="D75" s="10" t="s">
        <v>118</v>
      </c>
      <c r="E75" s="10" t="s">
        <v>146</v>
      </c>
      <c r="F75" s="28"/>
      <c r="G75" s="26">
        <f>173.4-14.27-0.2+14.27-11.472</f>
        <v>161.728</v>
      </c>
      <c r="H75" s="26">
        <v>173.4</v>
      </c>
      <c r="I75" s="26">
        <v>173.4</v>
      </c>
    </row>
    <row r="76" spans="1:9" s="56" customFormat="1" ht="15.75">
      <c r="A76" s="65" t="s">
        <v>214</v>
      </c>
      <c r="B76" s="10" t="s">
        <v>6</v>
      </c>
      <c r="C76" s="10" t="s">
        <v>26</v>
      </c>
      <c r="D76" s="10" t="s">
        <v>118</v>
      </c>
      <c r="E76" s="10" t="s">
        <v>212</v>
      </c>
      <c r="F76" s="28"/>
      <c r="G76" s="26">
        <f>0.2+0.2+0.098</f>
        <v>0.498</v>
      </c>
      <c r="H76" s="26"/>
      <c r="I76" s="26"/>
    </row>
    <row r="77" spans="1:9" s="56" customFormat="1" ht="31.5">
      <c r="A77" s="39" t="s">
        <v>76</v>
      </c>
      <c r="B77" s="10" t="s">
        <v>6</v>
      </c>
      <c r="C77" s="10" t="s">
        <v>26</v>
      </c>
      <c r="D77" s="10" t="s">
        <v>119</v>
      </c>
      <c r="E77" s="19"/>
      <c r="F77" s="28"/>
      <c r="G77" s="26">
        <f>G78</f>
        <v>328.5</v>
      </c>
      <c r="H77" s="26">
        <f>H78</f>
        <v>0</v>
      </c>
      <c r="I77" s="26">
        <f>I78</f>
        <v>0</v>
      </c>
    </row>
    <row r="78" spans="1:9" s="56" customFormat="1" ht="100.5" customHeight="1">
      <c r="A78" s="40" t="s">
        <v>201</v>
      </c>
      <c r="B78" s="10" t="s">
        <v>6</v>
      </c>
      <c r="C78" s="10" t="s">
        <v>26</v>
      </c>
      <c r="D78" s="10" t="s">
        <v>200</v>
      </c>
      <c r="F78" s="28"/>
      <c r="G78" s="26">
        <f>G79+G80+G81+G82</f>
        <v>328.5</v>
      </c>
      <c r="H78" s="26">
        <f>H79+H80+H81+H82</f>
        <v>0</v>
      </c>
      <c r="I78" s="26">
        <f>I79+I80+I81+I82</f>
        <v>0</v>
      </c>
    </row>
    <row r="79" spans="1:9" s="56" customFormat="1" ht="47.25">
      <c r="A79" s="40" t="s">
        <v>67</v>
      </c>
      <c r="B79" s="10" t="s">
        <v>6</v>
      </c>
      <c r="C79" s="10" t="s">
        <v>26</v>
      </c>
      <c r="D79" s="10" t="s">
        <v>200</v>
      </c>
      <c r="E79" s="10" t="s">
        <v>68</v>
      </c>
      <c r="F79" s="28"/>
      <c r="G79" s="26">
        <f>230+20</f>
        <v>250</v>
      </c>
      <c r="H79" s="26"/>
      <c r="I79" s="26"/>
    </row>
    <row r="80" spans="1:9" s="56" customFormat="1" ht="48.75" customHeight="1" hidden="1">
      <c r="A80" s="40" t="s">
        <v>70</v>
      </c>
      <c r="B80" s="10" t="s">
        <v>6</v>
      </c>
      <c r="C80" s="10" t="s">
        <v>26</v>
      </c>
      <c r="D80" s="10" t="s">
        <v>200</v>
      </c>
      <c r="E80" s="10" t="s">
        <v>72</v>
      </c>
      <c r="F80" s="28"/>
      <c r="G80" s="26"/>
      <c r="H80" s="26"/>
      <c r="I80" s="26"/>
    </row>
    <row r="81" spans="1:9" s="56" customFormat="1" ht="68.25" customHeight="1">
      <c r="A81" s="40" t="s">
        <v>147</v>
      </c>
      <c r="B81" s="10" t="s">
        <v>6</v>
      </c>
      <c r="C81" s="10" t="s">
        <v>26</v>
      </c>
      <c r="D81" s="10" t="s">
        <v>200</v>
      </c>
      <c r="E81" s="10" t="s">
        <v>146</v>
      </c>
      <c r="F81" s="28"/>
      <c r="G81" s="26">
        <f>70+8.5-3.5</f>
        <v>75</v>
      </c>
      <c r="H81" s="26"/>
      <c r="I81" s="26"/>
    </row>
    <row r="82" spans="1:9" s="56" customFormat="1" ht="47.25">
      <c r="A82" s="45" t="s">
        <v>74</v>
      </c>
      <c r="B82" s="10" t="s">
        <v>6</v>
      </c>
      <c r="C82" s="10" t="s">
        <v>26</v>
      </c>
      <c r="D82" s="10" t="s">
        <v>200</v>
      </c>
      <c r="E82" s="10" t="s">
        <v>73</v>
      </c>
      <c r="F82" s="28"/>
      <c r="G82" s="26">
        <v>3.5</v>
      </c>
      <c r="H82" s="26"/>
      <c r="I82" s="26"/>
    </row>
    <row r="83" spans="1:9" s="53" customFormat="1" ht="15.75" customHeight="1">
      <c r="A83" s="34" t="s">
        <v>15</v>
      </c>
      <c r="B83" s="9" t="s">
        <v>6</v>
      </c>
      <c r="C83" s="9" t="s">
        <v>13</v>
      </c>
      <c r="D83" s="9"/>
      <c r="E83" s="9"/>
      <c r="F83" s="11">
        <f>F84</f>
        <v>39</v>
      </c>
      <c r="G83" s="12">
        <f>G84</f>
        <v>10</v>
      </c>
      <c r="H83" s="12">
        <f>H84</f>
        <v>10</v>
      </c>
      <c r="I83" s="12">
        <f>I84</f>
        <v>10</v>
      </c>
    </row>
    <row r="84" spans="1:9" s="53" customFormat="1" ht="31.5">
      <c r="A84" s="39" t="s">
        <v>76</v>
      </c>
      <c r="B84" s="19" t="s">
        <v>6</v>
      </c>
      <c r="C84" s="19" t="s">
        <v>13</v>
      </c>
      <c r="D84" s="19" t="s">
        <v>119</v>
      </c>
      <c r="E84" s="19"/>
      <c r="F84" s="14">
        <f>F86</f>
        <v>39</v>
      </c>
      <c r="G84" s="15">
        <f aca="true" t="shared" si="3" ref="G84:I85">G85</f>
        <v>10</v>
      </c>
      <c r="H84" s="15">
        <f t="shared" si="3"/>
        <v>10</v>
      </c>
      <c r="I84" s="15">
        <f t="shared" si="3"/>
        <v>10</v>
      </c>
    </row>
    <row r="85" spans="1:9" s="53" customFormat="1" ht="18.75" customHeight="1">
      <c r="A85" s="45" t="s">
        <v>45</v>
      </c>
      <c r="B85" s="19" t="s">
        <v>6</v>
      </c>
      <c r="C85" s="19" t="s">
        <v>13</v>
      </c>
      <c r="D85" s="19" t="s">
        <v>120</v>
      </c>
      <c r="E85" s="19"/>
      <c r="F85" s="14">
        <f>F86</f>
        <v>39</v>
      </c>
      <c r="G85" s="15">
        <f t="shared" si="3"/>
        <v>10</v>
      </c>
      <c r="H85" s="15">
        <f t="shared" si="3"/>
        <v>10</v>
      </c>
      <c r="I85" s="15">
        <f t="shared" si="3"/>
        <v>10</v>
      </c>
    </row>
    <row r="86" spans="1:9" s="53" customFormat="1" ht="18" customHeight="1">
      <c r="A86" s="45" t="s">
        <v>235</v>
      </c>
      <c r="B86" s="19" t="s">
        <v>6</v>
      </c>
      <c r="C86" s="19" t="s">
        <v>13</v>
      </c>
      <c r="D86" s="19" t="s">
        <v>120</v>
      </c>
      <c r="E86" s="54" t="s">
        <v>234</v>
      </c>
      <c r="F86" s="14">
        <v>39</v>
      </c>
      <c r="G86" s="15">
        <v>10</v>
      </c>
      <c r="H86" s="15">
        <v>10</v>
      </c>
      <c r="I86" s="15">
        <v>10</v>
      </c>
    </row>
    <row r="87" spans="1:9" s="53" customFormat="1" ht="15.75">
      <c r="A87" s="34" t="s">
        <v>17</v>
      </c>
      <c r="B87" s="9" t="s">
        <v>6</v>
      </c>
      <c r="C87" s="9" t="s">
        <v>55</v>
      </c>
      <c r="D87" s="9"/>
      <c r="E87" s="9"/>
      <c r="F87" s="11" t="e">
        <f>F96+F99+F103+#REF!+#REF!</f>
        <v>#REF!</v>
      </c>
      <c r="G87" s="12">
        <f>G88+G92+G96+G99+G103+G128+G106+G118+G109</f>
        <v>36026.92999999999</v>
      </c>
      <c r="H87" s="12">
        <f>H88+H92+H96+H99+H103+H128+H106+H118+H109</f>
        <v>31048.4</v>
      </c>
      <c r="I87" s="12">
        <f>I88+I92+I96+I99+I103+I128+I106+I118+I109</f>
        <v>31014.8</v>
      </c>
    </row>
    <row r="88" spans="1:9" s="3" customFormat="1" ht="78.75">
      <c r="A88" s="37" t="s">
        <v>331</v>
      </c>
      <c r="B88" s="19" t="s">
        <v>6</v>
      </c>
      <c r="C88" s="19" t="s">
        <v>55</v>
      </c>
      <c r="D88" s="19" t="s">
        <v>121</v>
      </c>
      <c r="E88" s="19"/>
      <c r="F88" s="14"/>
      <c r="G88" s="15">
        <f>G89</f>
        <v>0</v>
      </c>
      <c r="H88" s="15">
        <f>H89</f>
        <v>15</v>
      </c>
      <c r="I88" s="15">
        <f>I89</f>
        <v>50</v>
      </c>
    </row>
    <row r="89" spans="1:9" s="3" customFormat="1" ht="31.5" customHeight="1">
      <c r="A89" s="40" t="s">
        <v>78</v>
      </c>
      <c r="B89" s="19" t="s">
        <v>6</v>
      </c>
      <c r="C89" s="19" t="s">
        <v>55</v>
      </c>
      <c r="D89" s="19" t="s">
        <v>122</v>
      </c>
      <c r="E89" s="19"/>
      <c r="F89" s="14"/>
      <c r="G89" s="15">
        <f>G90+G91</f>
        <v>0</v>
      </c>
      <c r="H89" s="15">
        <f>H90+H91</f>
        <v>15</v>
      </c>
      <c r="I89" s="15">
        <f>I90+I91</f>
        <v>50</v>
      </c>
    </row>
    <row r="90" spans="1:9" s="3" customFormat="1" ht="31.5" customHeight="1">
      <c r="A90" s="45" t="s">
        <v>74</v>
      </c>
      <c r="B90" s="19" t="s">
        <v>6</v>
      </c>
      <c r="C90" s="19" t="s">
        <v>55</v>
      </c>
      <c r="D90" s="19" t="s">
        <v>122</v>
      </c>
      <c r="E90" s="19" t="s">
        <v>73</v>
      </c>
      <c r="F90" s="14"/>
      <c r="G90" s="15">
        <f>75-69-6</f>
        <v>0</v>
      </c>
      <c r="H90" s="15">
        <v>15</v>
      </c>
      <c r="I90" s="15">
        <v>50</v>
      </c>
    </row>
    <row r="91" spans="1:9" s="3" customFormat="1" ht="31.5" customHeight="1" hidden="1">
      <c r="A91" s="68" t="s">
        <v>64</v>
      </c>
      <c r="B91" s="19" t="s">
        <v>6</v>
      </c>
      <c r="C91" s="19" t="s">
        <v>55</v>
      </c>
      <c r="D91" s="19" t="s">
        <v>122</v>
      </c>
      <c r="E91" s="19" t="s">
        <v>63</v>
      </c>
      <c r="F91" s="14"/>
      <c r="G91" s="15">
        <f>69-30-39</f>
        <v>0</v>
      </c>
      <c r="H91" s="15"/>
      <c r="I91" s="15"/>
    </row>
    <row r="92" spans="1:9" s="3" customFormat="1" ht="60.75" customHeight="1">
      <c r="A92" s="72" t="s">
        <v>330</v>
      </c>
      <c r="B92" s="19" t="s">
        <v>6</v>
      </c>
      <c r="C92" s="19" t="s">
        <v>55</v>
      </c>
      <c r="D92" s="19" t="s">
        <v>123</v>
      </c>
      <c r="E92" s="19"/>
      <c r="F92" s="14"/>
      <c r="G92" s="15">
        <f>G93</f>
        <v>48.3</v>
      </c>
      <c r="H92" s="15">
        <f>H93</f>
        <v>50</v>
      </c>
      <c r="I92" s="15">
        <f>I93</f>
        <v>0</v>
      </c>
    </row>
    <row r="93" spans="1:9" s="3" customFormat="1" ht="31.5">
      <c r="A93" s="40" t="s">
        <v>187</v>
      </c>
      <c r="B93" s="19" t="s">
        <v>6</v>
      </c>
      <c r="C93" s="19" t="s">
        <v>55</v>
      </c>
      <c r="D93" s="19" t="s">
        <v>124</v>
      </c>
      <c r="E93" s="19"/>
      <c r="F93" s="14"/>
      <c r="G93" s="15">
        <f>G94+G95</f>
        <v>48.3</v>
      </c>
      <c r="H93" s="15">
        <f>H94+H95</f>
        <v>50</v>
      </c>
      <c r="I93" s="15">
        <f>I94+I95</f>
        <v>0</v>
      </c>
    </row>
    <row r="94" spans="1:9" s="3" customFormat="1" ht="47.25">
      <c r="A94" s="45" t="s">
        <v>74</v>
      </c>
      <c r="B94" s="19" t="s">
        <v>6</v>
      </c>
      <c r="C94" s="19" t="s">
        <v>55</v>
      </c>
      <c r="D94" s="19" t="s">
        <v>124</v>
      </c>
      <c r="E94" s="19" t="s">
        <v>73</v>
      </c>
      <c r="F94" s="21"/>
      <c r="G94" s="15">
        <f>50-1.7</f>
        <v>48.3</v>
      </c>
      <c r="H94" s="15">
        <v>50</v>
      </c>
      <c r="I94" s="15"/>
    </row>
    <row r="95" spans="1:9" s="3" customFormat="1" ht="31.5" hidden="1">
      <c r="A95" s="40" t="s">
        <v>64</v>
      </c>
      <c r="B95" s="19" t="s">
        <v>6</v>
      </c>
      <c r="C95" s="19" t="s">
        <v>55</v>
      </c>
      <c r="D95" s="19" t="s">
        <v>124</v>
      </c>
      <c r="E95" s="19" t="s">
        <v>63</v>
      </c>
      <c r="F95" s="21"/>
      <c r="G95" s="15"/>
      <c r="H95" s="15"/>
      <c r="I95" s="15"/>
    </row>
    <row r="96" spans="1:9" s="3" customFormat="1" ht="63">
      <c r="A96" s="73" t="s">
        <v>329</v>
      </c>
      <c r="B96" s="19" t="s">
        <v>6</v>
      </c>
      <c r="C96" s="19" t="s">
        <v>55</v>
      </c>
      <c r="D96" s="19" t="s">
        <v>125</v>
      </c>
      <c r="E96" s="19"/>
      <c r="F96" s="21"/>
      <c r="G96" s="15">
        <f aca="true" t="shared" si="4" ref="G96:I97">G97</f>
        <v>17</v>
      </c>
      <c r="H96" s="15">
        <f t="shared" si="4"/>
        <v>17</v>
      </c>
      <c r="I96" s="15">
        <f t="shared" si="4"/>
        <v>0</v>
      </c>
    </row>
    <row r="97" spans="1:9" s="3" customFormat="1" ht="31.5">
      <c r="A97" s="40" t="s">
        <v>79</v>
      </c>
      <c r="B97" s="23" t="s">
        <v>6</v>
      </c>
      <c r="C97" s="23" t="s">
        <v>55</v>
      </c>
      <c r="D97" s="23" t="s">
        <v>126</v>
      </c>
      <c r="E97" s="23"/>
      <c r="F97" s="21"/>
      <c r="G97" s="15">
        <f t="shared" si="4"/>
        <v>17</v>
      </c>
      <c r="H97" s="15">
        <f t="shared" si="4"/>
        <v>17</v>
      </c>
      <c r="I97" s="15">
        <f t="shared" si="4"/>
        <v>0</v>
      </c>
    </row>
    <row r="98" spans="1:9" s="3" customFormat="1" ht="47.25">
      <c r="A98" s="45" t="s">
        <v>74</v>
      </c>
      <c r="B98" s="19" t="s">
        <v>6</v>
      </c>
      <c r="C98" s="19" t="s">
        <v>55</v>
      </c>
      <c r="D98" s="19" t="s">
        <v>126</v>
      </c>
      <c r="E98" s="19" t="s">
        <v>73</v>
      </c>
      <c r="F98" s="21"/>
      <c r="G98" s="15">
        <v>17</v>
      </c>
      <c r="H98" s="15">
        <v>17</v>
      </c>
      <c r="I98" s="15"/>
    </row>
    <row r="99" spans="1:9" s="3" customFormat="1" ht="94.5">
      <c r="A99" s="71" t="s">
        <v>328</v>
      </c>
      <c r="B99" s="19" t="s">
        <v>6</v>
      </c>
      <c r="C99" s="19" t="s">
        <v>55</v>
      </c>
      <c r="D99" s="19" t="s">
        <v>127</v>
      </c>
      <c r="E99" s="19"/>
      <c r="F99" s="21"/>
      <c r="G99" s="15">
        <f>G100</f>
        <v>20</v>
      </c>
      <c r="H99" s="15">
        <f>H100</f>
        <v>0</v>
      </c>
      <c r="I99" s="15">
        <f>I100</f>
        <v>0</v>
      </c>
    </row>
    <row r="100" spans="1:9" s="3" customFormat="1" ht="31.5">
      <c r="A100" s="40" t="s">
        <v>110</v>
      </c>
      <c r="B100" s="19" t="s">
        <v>6</v>
      </c>
      <c r="C100" s="19" t="s">
        <v>55</v>
      </c>
      <c r="D100" s="19" t="s">
        <v>128</v>
      </c>
      <c r="E100" s="19"/>
      <c r="F100" s="21"/>
      <c r="G100" s="15">
        <f>G102+G101</f>
        <v>20</v>
      </c>
      <c r="H100" s="15">
        <f>H102+H101</f>
        <v>0</v>
      </c>
      <c r="I100" s="15">
        <f>I102+I101</f>
        <v>0</v>
      </c>
    </row>
    <row r="101" spans="1:9" s="3" customFormat="1" ht="63">
      <c r="A101" s="40" t="s">
        <v>218</v>
      </c>
      <c r="B101" s="19" t="s">
        <v>6</v>
      </c>
      <c r="C101" s="19" t="s">
        <v>55</v>
      </c>
      <c r="D101" s="19" t="s">
        <v>128</v>
      </c>
      <c r="E101" s="19" t="s">
        <v>217</v>
      </c>
      <c r="F101" s="21"/>
      <c r="G101" s="15">
        <v>11</v>
      </c>
      <c r="H101" s="15"/>
      <c r="I101" s="15"/>
    </row>
    <row r="102" spans="1:9" s="3" customFormat="1" ht="51" customHeight="1">
      <c r="A102" s="45" t="s">
        <v>74</v>
      </c>
      <c r="B102" s="19" t="s">
        <v>6</v>
      </c>
      <c r="C102" s="19" t="s">
        <v>55</v>
      </c>
      <c r="D102" s="19" t="s">
        <v>128</v>
      </c>
      <c r="E102" s="19" t="s">
        <v>73</v>
      </c>
      <c r="F102" s="21"/>
      <c r="G102" s="15">
        <f>20-11</f>
        <v>9</v>
      </c>
      <c r="H102" s="15"/>
      <c r="I102" s="15"/>
    </row>
    <row r="103" spans="1:9" s="3" customFormat="1" ht="63">
      <c r="A103" s="74" t="s">
        <v>327</v>
      </c>
      <c r="B103" s="19" t="s">
        <v>6</v>
      </c>
      <c r="C103" s="19" t="s">
        <v>55</v>
      </c>
      <c r="D103" s="19" t="s">
        <v>129</v>
      </c>
      <c r="E103" s="19"/>
      <c r="F103" s="21"/>
      <c r="G103" s="15">
        <f aca="true" t="shared" si="5" ref="G103:I104">G104</f>
        <v>11.548</v>
      </c>
      <c r="H103" s="15">
        <f t="shared" si="5"/>
        <v>18</v>
      </c>
      <c r="I103" s="15">
        <f t="shared" si="5"/>
        <v>0</v>
      </c>
    </row>
    <row r="104" spans="1:9" s="3" customFormat="1" ht="31.5">
      <c r="A104" s="40" t="s">
        <v>80</v>
      </c>
      <c r="B104" s="19" t="s">
        <v>6</v>
      </c>
      <c r="C104" s="19" t="s">
        <v>55</v>
      </c>
      <c r="D104" s="19" t="s">
        <v>130</v>
      </c>
      <c r="E104" s="19"/>
      <c r="F104" s="21"/>
      <c r="G104" s="15">
        <f t="shared" si="5"/>
        <v>11.548</v>
      </c>
      <c r="H104" s="15">
        <f t="shared" si="5"/>
        <v>18</v>
      </c>
      <c r="I104" s="15">
        <f t="shared" si="5"/>
        <v>0</v>
      </c>
    </row>
    <row r="105" spans="1:9" s="3" customFormat="1" ht="47.25">
      <c r="A105" s="45" t="s">
        <v>74</v>
      </c>
      <c r="B105" s="19" t="s">
        <v>6</v>
      </c>
      <c r="C105" s="19" t="s">
        <v>55</v>
      </c>
      <c r="D105" s="19" t="s">
        <v>130</v>
      </c>
      <c r="E105" s="19" t="s">
        <v>73</v>
      </c>
      <c r="F105" s="21"/>
      <c r="G105" s="15">
        <f>18-6.452</f>
        <v>11.548</v>
      </c>
      <c r="H105" s="15">
        <v>18</v>
      </c>
      <c r="I105" s="15"/>
    </row>
    <row r="106" spans="1:9" s="3" customFormat="1" ht="63">
      <c r="A106" s="74" t="s">
        <v>326</v>
      </c>
      <c r="B106" s="19" t="s">
        <v>6</v>
      </c>
      <c r="C106" s="19" t="s">
        <v>55</v>
      </c>
      <c r="D106" s="19" t="s">
        <v>131</v>
      </c>
      <c r="E106" s="19"/>
      <c r="F106" s="21"/>
      <c r="G106" s="15">
        <f aca="true" t="shared" si="6" ref="G106:I107">G107</f>
        <v>0</v>
      </c>
      <c r="H106" s="15">
        <f t="shared" si="6"/>
        <v>10</v>
      </c>
      <c r="I106" s="15">
        <f t="shared" si="6"/>
        <v>0</v>
      </c>
    </row>
    <row r="107" spans="1:9" s="3" customFormat="1" ht="31.5">
      <c r="A107" s="51" t="s">
        <v>109</v>
      </c>
      <c r="B107" s="19" t="s">
        <v>6</v>
      </c>
      <c r="C107" s="19" t="s">
        <v>55</v>
      </c>
      <c r="D107" s="19" t="s">
        <v>132</v>
      </c>
      <c r="E107" s="19"/>
      <c r="F107" s="21"/>
      <c r="G107" s="15">
        <f t="shared" si="6"/>
        <v>0</v>
      </c>
      <c r="H107" s="15">
        <f t="shared" si="6"/>
        <v>10</v>
      </c>
      <c r="I107" s="15">
        <f t="shared" si="6"/>
        <v>0</v>
      </c>
    </row>
    <row r="108" spans="1:9" s="3" customFormat="1" ht="47.25">
      <c r="A108" s="45" t="s">
        <v>74</v>
      </c>
      <c r="B108" s="19" t="s">
        <v>6</v>
      </c>
      <c r="C108" s="19" t="s">
        <v>55</v>
      </c>
      <c r="D108" s="19" t="s">
        <v>132</v>
      </c>
      <c r="E108" s="19" t="s">
        <v>73</v>
      </c>
      <c r="F108" s="21"/>
      <c r="G108" s="15">
        <f>10-10</f>
        <v>0</v>
      </c>
      <c r="H108" s="15">
        <v>10</v>
      </c>
      <c r="I108" s="15"/>
    </row>
    <row r="109" spans="1:9" s="53" customFormat="1" ht="47.25" customHeight="1">
      <c r="A109" s="75" t="s">
        <v>325</v>
      </c>
      <c r="B109" s="19" t="s">
        <v>6</v>
      </c>
      <c r="C109" s="19" t="s">
        <v>55</v>
      </c>
      <c r="D109" s="23" t="s">
        <v>164</v>
      </c>
      <c r="E109" s="23"/>
      <c r="F109" s="11"/>
      <c r="G109" s="26">
        <f>G110</f>
        <v>6859.299999999999</v>
      </c>
      <c r="H109" s="26">
        <f>H110</f>
        <v>7000.299999999999</v>
      </c>
      <c r="I109" s="26">
        <f>I110</f>
        <v>7050.299999999999</v>
      </c>
    </row>
    <row r="110" spans="1:9" s="53" customFormat="1" ht="31.5">
      <c r="A110" s="45" t="s">
        <v>223</v>
      </c>
      <c r="B110" s="19" t="s">
        <v>6</v>
      </c>
      <c r="C110" s="19" t="s">
        <v>55</v>
      </c>
      <c r="D110" s="23" t="s">
        <v>165</v>
      </c>
      <c r="E110" s="23"/>
      <c r="F110" s="11"/>
      <c r="G110" s="26">
        <f>G111+G112+G114+G115+G116+G113+G117</f>
        <v>6859.299999999999</v>
      </c>
      <c r="H110" s="26">
        <f>H111+H112+H114+H115+H116+H113+H117</f>
        <v>7000.299999999999</v>
      </c>
      <c r="I110" s="26">
        <f>I111+I112+I114+I115+I116+I113+I117</f>
        <v>7050.299999999999</v>
      </c>
    </row>
    <row r="111" spans="1:9" s="53" customFormat="1" ht="15.75">
      <c r="A111" s="79" t="s">
        <v>188</v>
      </c>
      <c r="B111" s="19" t="s">
        <v>6</v>
      </c>
      <c r="C111" s="19" t="s">
        <v>55</v>
      </c>
      <c r="D111" s="23" t="s">
        <v>165</v>
      </c>
      <c r="E111" s="23" t="s">
        <v>84</v>
      </c>
      <c r="F111" s="11"/>
      <c r="G111" s="26">
        <f>4684.4-22-100-16.108</f>
        <v>4546.2919999999995</v>
      </c>
      <c r="H111" s="26">
        <v>4684.4</v>
      </c>
      <c r="I111" s="26">
        <v>4684.4</v>
      </c>
    </row>
    <row r="112" spans="1:9" s="53" customFormat="1" ht="47.25">
      <c r="A112" s="79" t="s">
        <v>81</v>
      </c>
      <c r="B112" s="23" t="s">
        <v>6</v>
      </c>
      <c r="C112" s="23" t="s">
        <v>55</v>
      </c>
      <c r="D112" s="23" t="s">
        <v>165</v>
      </c>
      <c r="E112" s="23" t="s">
        <v>65</v>
      </c>
      <c r="F112" s="11"/>
      <c r="G112" s="26">
        <f>5.6-0.56-1.226-0.042</f>
        <v>3.7719999999999994</v>
      </c>
      <c r="H112" s="26">
        <v>1.2</v>
      </c>
      <c r="I112" s="26">
        <v>1.2</v>
      </c>
    </row>
    <row r="113" spans="1:9" s="53" customFormat="1" ht="63">
      <c r="A113" s="39" t="s">
        <v>189</v>
      </c>
      <c r="B113" s="19" t="s">
        <v>6</v>
      </c>
      <c r="C113" s="19" t="s">
        <v>55</v>
      </c>
      <c r="D113" s="23" t="s">
        <v>165</v>
      </c>
      <c r="E113" s="23" t="s">
        <v>149</v>
      </c>
      <c r="F113" s="11"/>
      <c r="G113" s="26">
        <f>1414.7-0.5-0.615-2.2-3.5-2.291-0.012-43.5</f>
        <v>1362.082</v>
      </c>
      <c r="H113" s="26">
        <v>1414.7</v>
      </c>
      <c r="I113" s="26">
        <v>1414.7</v>
      </c>
    </row>
    <row r="114" spans="1:9" s="53" customFormat="1" ht="47.25">
      <c r="A114" s="79" t="s">
        <v>74</v>
      </c>
      <c r="B114" s="19" t="s">
        <v>6</v>
      </c>
      <c r="C114" s="19" t="s">
        <v>55</v>
      </c>
      <c r="D114" s="23" t="s">
        <v>165</v>
      </c>
      <c r="E114" s="23" t="s">
        <v>73</v>
      </c>
      <c r="F114" s="11"/>
      <c r="G114" s="26">
        <f>850-100+22+95.134+4.6+58.8</f>
        <v>930.534</v>
      </c>
      <c r="H114" s="26">
        <v>900</v>
      </c>
      <c r="I114" s="26">
        <v>950</v>
      </c>
    </row>
    <row r="115" spans="1:9" s="53" customFormat="1" ht="31.5">
      <c r="A115" s="80" t="s">
        <v>75</v>
      </c>
      <c r="B115" s="19" t="s">
        <v>6</v>
      </c>
      <c r="C115" s="19" t="s">
        <v>55</v>
      </c>
      <c r="D115" s="23" t="s">
        <v>165</v>
      </c>
      <c r="E115" s="24" t="s">
        <v>77</v>
      </c>
      <c r="F115" s="11"/>
      <c r="G115" s="26">
        <f>0.115+0.23</f>
        <v>0.34500000000000003</v>
      </c>
      <c r="H115" s="26"/>
      <c r="I115" s="26"/>
    </row>
    <row r="116" spans="1:9" s="53" customFormat="1" ht="31.5" hidden="1">
      <c r="A116" s="80" t="s">
        <v>82</v>
      </c>
      <c r="B116" s="19" t="s">
        <v>6</v>
      </c>
      <c r="C116" s="19" t="s">
        <v>55</v>
      </c>
      <c r="D116" s="23" t="s">
        <v>165</v>
      </c>
      <c r="E116" s="24" t="s">
        <v>85</v>
      </c>
      <c r="F116" s="11"/>
      <c r="G116" s="26"/>
      <c r="H116" s="26"/>
      <c r="I116" s="26"/>
    </row>
    <row r="117" spans="1:9" s="53" customFormat="1" ht="15.75">
      <c r="A117" s="76" t="s">
        <v>214</v>
      </c>
      <c r="B117" s="19" t="s">
        <v>6</v>
      </c>
      <c r="C117" s="19" t="s">
        <v>55</v>
      </c>
      <c r="D117" s="23" t="s">
        <v>165</v>
      </c>
      <c r="E117" s="24" t="s">
        <v>212</v>
      </c>
      <c r="F117" s="11"/>
      <c r="G117" s="26">
        <f>0.5+0.5+2.2+3.5+0.33+1.226+2.291+4.866+0.012+0.042+0.808</f>
        <v>16.275000000000002</v>
      </c>
      <c r="H117" s="26"/>
      <c r="I117" s="26"/>
    </row>
    <row r="118" spans="1:9" s="3" customFormat="1" ht="97.5" customHeight="1">
      <c r="A118" s="75" t="s">
        <v>323</v>
      </c>
      <c r="B118" s="19" t="s">
        <v>6</v>
      </c>
      <c r="C118" s="19" t="s">
        <v>55</v>
      </c>
      <c r="D118" s="19" t="s">
        <v>133</v>
      </c>
      <c r="E118" s="19"/>
      <c r="F118" s="21"/>
      <c r="G118" s="15">
        <f>G119</f>
        <v>12640.159999999996</v>
      </c>
      <c r="H118" s="15">
        <f>H119</f>
        <v>10462.900000000001</v>
      </c>
      <c r="I118" s="15">
        <f>I119</f>
        <v>10662.900000000001</v>
      </c>
    </row>
    <row r="119" spans="1:9" s="3" customFormat="1" ht="31.5">
      <c r="A119" s="32" t="s">
        <v>224</v>
      </c>
      <c r="B119" s="19" t="s">
        <v>6</v>
      </c>
      <c r="C119" s="19" t="s">
        <v>55</v>
      </c>
      <c r="D119" s="19" t="s">
        <v>194</v>
      </c>
      <c r="E119" s="19"/>
      <c r="F119" s="21"/>
      <c r="G119" s="15">
        <f>G120+G121+G122+G124+G125+G126+G127+G123</f>
        <v>12640.159999999996</v>
      </c>
      <c r="H119" s="15">
        <f>H120+H121+H122+H124+H125+H126+H127+H123</f>
        <v>10462.900000000001</v>
      </c>
      <c r="I119" s="15">
        <f>I120+I121+I122+I124+I125+I126+I127+I123</f>
        <v>10662.900000000001</v>
      </c>
    </row>
    <row r="120" spans="1:9" s="3" customFormat="1" ht="15.75">
      <c r="A120" s="65" t="s">
        <v>188</v>
      </c>
      <c r="B120" s="19" t="s">
        <v>6</v>
      </c>
      <c r="C120" s="19" t="s">
        <v>55</v>
      </c>
      <c r="D120" s="19" t="s">
        <v>194</v>
      </c>
      <c r="E120" s="19" t="s">
        <v>84</v>
      </c>
      <c r="F120" s="21"/>
      <c r="G120" s="15">
        <f>4871.6-6.261+574-5</f>
        <v>5434.339</v>
      </c>
      <c r="H120" s="15">
        <v>4871.6</v>
      </c>
      <c r="I120" s="15">
        <v>4871.6</v>
      </c>
    </row>
    <row r="121" spans="1:9" s="3" customFormat="1" ht="47.25">
      <c r="A121" s="65" t="s">
        <v>81</v>
      </c>
      <c r="B121" s="19" t="s">
        <v>6</v>
      </c>
      <c r="C121" s="19" t="s">
        <v>55</v>
      </c>
      <c r="D121" s="19" t="s">
        <v>194</v>
      </c>
      <c r="E121" s="19" t="s">
        <v>65</v>
      </c>
      <c r="F121" s="21"/>
      <c r="G121" s="15">
        <f>11.332</f>
        <v>11.332</v>
      </c>
      <c r="H121" s="15"/>
      <c r="I121" s="15"/>
    </row>
    <row r="122" spans="1:9" s="3" customFormat="1" ht="63">
      <c r="A122" s="39" t="s">
        <v>189</v>
      </c>
      <c r="B122" s="19" t="s">
        <v>6</v>
      </c>
      <c r="C122" s="19" t="s">
        <v>55</v>
      </c>
      <c r="D122" s="19" t="s">
        <v>194</v>
      </c>
      <c r="E122" s="19" t="s">
        <v>149</v>
      </c>
      <c r="F122" s="21"/>
      <c r="G122" s="15">
        <f>1471.3-11.332-337+5+5</f>
        <v>1132.9679999999998</v>
      </c>
      <c r="H122" s="15">
        <v>1471.3</v>
      </c>
      <c r="I122" s="15">
        <v>1471.3</v>
      </c>
    </row>
    <row r="123" spans="1:9" s="3" customFormat="1" ht="47.25">
      <c r="A123" s="39" t="s">
        <v>102</v>
      </c>
      <c r="B123" s="19" t="s">
        <v>6</v>
      </c>
      <c r="C123" s="19" t="s">
        <v>55</v>
      </c>
      <c r="D123" s="19" t="s">
        <v>194</v>
      </c>
      <c r="E123" s="19" t="s">
        <v>100</v>
      </c>
      <c r="F123" s="21"/>
      <c r="G123" s="15">
        <f>6.261+7.735</f>
        <v>13.996</v>
      </c>
      <c r="H123" s="15"/>
      <c r="I123" s="15"/>
    </row>
    <row r="124" spans="1:9" s="3" customFormat="1" ht="47.25">
      <c r="A124" s="65" t="s">
        <v>74</v>
      </c>
      <c r="B124" s="19" t="s">
        <v>6</v>
      </c>
      <c r="C124" s="19" t="s">
        <v>55</v>
      </c>
      <c r="D124" s="19" t="s">
        <v>194</v>
      </c>
      <c r="E124" s="54" t="s">
        <v>73</v>
      </c>
      <c r="F124" s="21"/>
      <c r="G124" s="15">
        <f>4000-327.6+180+800-7.7-46.43+762.4+16.008+45.759+77+193.529+100+100-0.368-5.1</f>
        <v>5887.497999999998</v>
      </c>
      <c r="H124" s="15">
        <v>3800</v>
      </c>
      <c r="I124" s="15">
        <v>4000</v>
      </c>
    </row>
    <row r="125" spans="1:9" s="3" customFormat="1" ht="31.5">
      <c r="A125" s="76" t="s">
        <v>75</v>
      </c>
      <c r="B125" s="19" t="s">
        <v>6</v>
      </c>
      <c r="C125" s="19" t="s">
        <v>55</v>
      </c>
      <c r="D125" s="19" t="s">
        <v>194</v>
      </c>
      <c r="E125" s="54" t="s">
        <v>77</v>
      </c>
      <c r="F125" s="21"/>
      <c r="G125" s="15">
        <f>153-31.59-6.325</f>
        <v>115.085</v>
      </c>
      <c r="H125" s="15">
        <v>122</v>
      </c>
      <c r="I125" s="15">
        <v>122</v>
      </c>
    </row>
    <row r="126" spans="1:9" s="3" customFormat="1" ht="31.5">
      <c r="A126" s="76" t="s">
        <v>82</v>
      </c>
      <c r="B126" s="19" t="s">
        <v>6</v>
      </c>
      <c r="C126" s="19" t="s">
        <v>55</v>
      </c>
      <c r="D126" s="19" t="s">
        <v>194</v>
      </c>
      <c r="E126" s="54" t="s">
        <v>85</v>
      </c>
      <c r="F126" s="21"/>
      <c r="G126" s="15">
        <f>5.7+2.8-1.95</f>
        <v>6.55</v>
      </c>
      <c r="H126" s="15"/>
      <c r="I126" s="15"/>
    </row>
    <row r="127" spans="1:9" s="3" customFormat="1" ht="15.75">
      <c r="A127" s="76" t="s">
        <v>214</v>
      </c>
      <c r="B127" s="19" t="s">
        <v>6</v>
      </c>
      <c r="C127" s="19" t="s">
        <v>55</v>
      </c>
      <c r="D127" s="19" t="s">
        <v>194</v>
      </c>
      <c r="E127" s="54" t="s">
        <v>212</v>
      </c>
      <c r="F127" s="21"/>
      <c r="G127" s="15">
        <f>198-7.735-5.7-34.841-2.8-77-32+0.368+0.1</f>
        <v>38.39199999999998</v>
      </c>
      <c r="H127" s="15">
        <v>198</v>
      </c>
      <c r="I127" s="15">
        <v>198</v>
      </c>
    </row>
    <row r="128" spans="1:9" s="3" customFormat="1" ht="31.5">
      <c r="A128" s="39" t="s">
        <v>76</v>
      </c>
      <c r="B128" s="19" t="s">
        <v>6</v>
      </c>
      <c r="C128" s="19" t="s">
        <v>55</v>
      </c>
      <c r="D128" s="19" t="s">
        <v>119</v>
      </c>
      <c r="E128" s="54"/>
      <c r="F128" s="21"/>
      <c r="G128" s="15">
        <f>G129+G138+G144+G133+G140+G131+G142</f>
        <v>16430.622</v>
      </c>
      <c r="H128" s="15">
        <f>H129+H138+H144+H133+H140+H131+H142</f>
        <v>13475.2</v>
      </c>
      <c r="I128" s="15">
        <f>I129+I138+I144+I133+I140+I131+I142</f>
        <v>13251.6</v>
      </c>
    </row>
    <row r="129" spans="1:9" s="3" customFormat="1" ht="64.5" customHeight="1">
      <c r="A129" s="64" t="s">
        <v>18</v>
      </c>
      <c r="B129" s="19" t="s">
        <v>6</v>
      </c>
      <c r="C129" s="19" t="s">
        <v>55</v>
      </c>
      <c r="D129" s="19" t="s">
        <v>134</v>
      </c>
      <c r="E129" s="19"/>
      <c r="F129" s="21"/>
      <c r="G129" s="15">
        <f>G130</f>
        <v>86.3</v>
      </c>
      <c r="H129" s="15">
        <f>H130</f>
        <v>100</v>
      </c>
      <c r="I129" s="15">
        <f>I130</f>
        <v>100</v>
      </c>
    </row>
    <row r="130" spans="1:9" s="3" customFormat="1" ht="47.25">
      <c r="A130" s="45" t="s">
        <v>74</v>
      </c>
      <c r="B130" s="19" t="s">
        <v>6</v>
      </c>
      <c r="C130" s="19" t="s">
        <v>55</v>
      </c>
      <c r="D130" s="19" t="s">
        <v>134</v>
      </c>
      <c r="E130" s="19" t="s">
        <v>73</v>
      </c>
      <c r="F130" s="21"/>
      <c r="G130" s="15">
        <f>80+6.3</f>
        <v>86.3</v>
      </c>
      <c r="H130" s="15">
        <v>100</v>
      </c>
      <c r="I130" s="15">
        <v>100</v>
      </c>
    </row>
    <row r="131" spans="1:9" s="3" customFormat="1" ht="35.25" customHeight="1" hidden="1">
      <c r="A131" s="63" t="s">
        <v>195</v>
      </c>
      <c r="B131" s="19" t="s">
        <v>6</v>
      </c>
      <c r="C131" s="19" t="s">
        <v>55</v>
      </c>
      <c r="D131" s="19" t="s">
        <v>197</v>
      </c>
      <c r="E131" s="19"/>
      <c r="F131" s="21"/>
      <c r="G131" s="15">
        <f>G132</f>
        <v>0</v>
      </c>
      <c r="H131" s="15">
        <f>H132</f>
        <v>0</v>
      </c>
      <c r="I131" s="15">
        <f>I132</f>
        <v>0</v>
      </c>
    </row>
    <row r="132" spans="1:9" s="3" customFormat="1" ht="47.25" hidden="1">
      <c r="A132" s="45" t="s">
        <v>74</v>
      </c>
      <c r="B132" s="19" t="s">
        <v>6</v>
      </c>
      <c r="C132" s="19" t="s">
        <v>55</v>
      </c>
      <c r="D132" s="19" t="s">
        <v>197</v>
      </c>
      <c r="E132" s="19" t="s">
        <v>73</v>
      </c>
      <c r="F132" s="21"/>
      <c r="G132" s="15"/>
      <c r="H132" s="15"/>
      <c r="I132" s="15"/>
    </row>
    <row r="133" spans="1:9" s="3" customFormat="1" ht="110.25">
      <c r="A133" s="63" t="s">
        <v>278</v>
      </c>
      <c r="B133" s="19" t="s">
        <v>6</v>
      </c>
      <c r="C133" s="19" t="s">
        <v>55</v>
      </c>
      <c r="D133" s="19" t="s">
        <v>135</v>
      </c>
      <c r="E133" s="19"/>
      <c r="F133" s="21"/>
      <c r="G133" s="15">
        <f>G134+G135+G137+G136</f>
        <v>1224.6999999999998</v>
      </c>
      <c r="H133" s="15">
        <f>H134+H135+H137+H136</f>
        <v>1216.8</v>
      </c>
      <c r="I133" s="15">
        <f>I134+I135+I137+I136</f>
        <v>993.2</v>
      </c>
    </row>
    <row r="134" spans="1:9" s="3" customFormat="1" ht="31.5">
      <c r="A134" s="40" t="s">
        <v>145</v>
      </c>
      <c r="B134" s="19" t="s">
        <v>6</v>
      </c>
      <c r="C134" s="19" t="s">
        <v>55</v>
      </c>
      <c r="D134" s="19" t="s">
        <v>135</v>
      </c>
      <c r="E134" s="19" t="s">
        <v>68</v>
      </c>
      <c r="F134" s="21"/>
      <c r="G134" s="15">
        <f>612+26.7+100.079-6+16.8</f>
        <v>749.579</v>
      </c>
      <c r="H134" s="15">
        <v>612</v>
      </c>
      <c r="I134" s="15">
        <v>612</v>
      </c>
    </row>
    <row r="135" spans="1:9" s="3" customFormat="1" ht="48" customHeight="1">
      <c r="A135" s="40" t="s">
        <v>70</v>
      </c>
      <c r="B135" s="19" t="s">
        <v>6</v>
      </c>
      <c r="C135" s="19" t="s">
        <v>55</v>
      </c>
      <c r="D135" s="19" t="s">
        <v>135</v>
      </c>
      <c r="E135" s="19" t="s">
        <v>72</v>
      </c>
      <c r="F135" s="21"/>
      <c r="G135" s="15">
        <f>0.237</f>
        <v>0.237</v>
      </c>
      <c r="H135" s="15"/>
      <c r="I135" s="15"/>
    </row>
    <row r="136" spans="1:9" s="3" customFormat="1" ht="48" customHeight="1">
      <c r="A136" s="40" t="s">
        <v>147</v>
      </c>
      <c r="B136" s="19" t="s">
        <v>6</v>
      </c>
      <c r="C136" s="19" t="s">
        <v>55</v>
      </c>
      <c r="D136" s="19" t="s">
        <v>135</v>
      </c>
      <c r="E136" s="19" t="s">
        <v>146</v>
      </c>
      <c r="F136" s="21"/>
      <c r="G136" s="15">
        <f>183-0.237+163+4.4+30.5-161</f>
        <v>219.663</v>
      </c>
      <c r="H136" s="15">
        <v>183</v>
      </c>
      <c r="I136" s="15">
        <v>183</v>
      </c>
    </row>
    <row r="137" spans="1:9" s="3" customFormat="1" ht="47.25">
      <c r="A137" s="45" t="s">
        <v>74</v>
      </c>
      <c r="B137" s="19" t="s">
        <v>6</v>
      </c>
      <c r="C137" s="19" t="s">
        <v>55</v>
      </c>
      <c r="D137" s="19" t="s">
        <v>135</v>
      </c>
      <c r="E137" s="54" t="s">
        <v>73</v>
      </c>
      <c r="F137" s="21"/>
      <c r="G137" s="15">
        <f>398.6-163-130.579+6+144.2</f>
        <v>255.221</v>
      </c>
      <c r="H137" s="15">
        <v>421.8</v>
      </c>
      <c r="I137" s="15">
        <v>198.2</v>
      </c>
    </row>
    <row r="138" spans="1:9" s="3" customFormat="1" ht="63" hidden="1">
      <c r="A138" s="40" t="s">
        <v>105</v>
      </c>
      <c r="B138" s="19" t="s">
        <v>6</v>
      </c>
      <c r="C138" s="19" t="s">
        <v>55</v>
      </c>
      <c r="D138" s="19" t="s">
        <v>216</v>
      </c>
      <c r="E138" s="19"/>
      <c r="F138" s="21"/>
      <c r="G138" s="15">
        <f>G139</f>
        <v>0</v>
      </c>
      <c r="H138" s="15">
        <f>H139</f>
        <v>0</v>
      </c>
      <c r="I138" s="15">
        <f>I139</f>
        <v>0</v>
      </c>
    </row>
    <row r="139" spans="1:9" s="3" customFormat="1" ht="47.25" hidden="1">
      <c r="A139" s="45" t="s">
        <v>74</v>
      </c>
      <c r="B139" s="19" t="s">
        <v>6</v>
      </c>
      <c r="C139" s="19" t="s">
        <v>55</v>
      </c>
      <c r="D139" s="19" t="s">
        <v>216</v>
      </c>
      <c r="E139" s="19" t="s">
        <v>73</v>
      </c>
      <c r="F139" s="21"/>
      <c r="G139" s="15"/>
      <c r="H139" s="15"/>
      <c r="I139" s="15"/>
    </row>
    <row r="140" spans="1:9" s="3" customFormat="1" ht="50.25" customHeight="1">
      <c r="A140" s="45" t="s">
        <v>255</v>
      </c>
      <c r="B140" s="23" t="s">
        <v>6</v>
      </c>
      <c r="C140" s="23" t="s">
        <v>55</v>
      </c>
      <c r="D140" s="23" t="s">
        <v>191</v>
      </c>
      <c r="E140" s="23"/>
      <c r="F140" s="21"/>
      <c r="G140" s="15">
        <f>G141</f>
        <v>2845.9500000000003</v>
      </c>
      <c r="H140" s="15">
        <f>H141</f>
        <v>120.4</v>
      </c>
      <c r="I140" s="15">
        <f>I141</f>
        <v>120.4</v>
      </c>
    </row>
    <row r="141" spans="1:9" s="3" customFormat="1" ht="15.75">
      <c r="A141" s="45" t="s">
        <v>60</v>
      </c>
      <c r="B141" s="23" t="s">
        <v>6</v>
      </c>
      <c r="C141" s="23" t="s">
        <v>55</v>
      </c>
      <c r="D141" s="23" t="s">
        <v>191</v>
      </c>
      <c r="E141" s="23" t="s">
        <v>92</v>
      </c>
      <c r="F141" s="21"/>
      <c r="G141" s="15">
        <f>120.4+5567.6-947.4-1894.65</f>
        <v>2845.9500000000003</v>
      </c>
      <c r="H141" s="15">
        <v>120.4</v>
      </c>
      <c r="I141" s="15">
        <v>120.4</v>
      </c>
    </row>
    <row r="142" spans="1:9" s="3" customFormat="1" ht="47.25">
      <c r="A142" s="45" t="s">
        <v>279</v>
      </c>
      <c r="B142" s="19" t="s">
        <v>6</v>
      </c>
      <c r="C142" s="19" t="s">
        <v>55</v>
      </c>
      <c r="D142" s="19" t="s">
        <v>245</v>
      </c>
      <c r="E142" s="19"/>
      <c r="F142" s="21"/>
      <c r="G142" s="15">
        <f>G143</f>
        <v>12038</v>
      </c>
      <c r="H142" s="15">
        <f>H143</f>
        <v>12038</v>
      </c>
      <c r="I142" s="15">
        <f>I143</f>
        <v>12038</v>
      </c>
    </row>
    <row r="143" spans="1:9" s="3" customFormat="1" ht="15.75">
      <c r="A143" s="45" t="s">
        <v>60</v>
      </c>
      <c r="B143" s="19" t="s">
        <v>6</v>
      </c>
      <c r="C143" s="19" t="s">
        <v>55</v>
      </c>
      <c r="D143" s="19" t="s">
        <v>245</v>
      </c>
      <c r="E143" s="19" t="s">
        <v>92</v>
      </c>
      <c r="F143" s="21"/>
      <c r="G143" s="15">
        <v>12038</v>
      </c>
      <c r="H143" s="15">
        <v>12038</v>
      </c>
      <c r="I143" s="15">
        <v>12038</v>
      </c>
    </row>
    <row r="144" spans="1:9" s="3" customFormat="1" ht="47.25">
      <c r="A144" s="45" t="s">
        <v>111</v>
      </c>
      <c r="B144" s="19" t="s">
        <v>6</v>
      </c>
      <c r="C144" s="19" t="s">
        <v>55</v>
      </c>
      <c r="D144" s="19" t="s">
        <v>136</v>
      </c>
      <c r="E144" s="19"/>
      <c r="F144" s="21"/>
      <c r="G144" s="15">
        <f>G145+G146</f>
        <v>235.67200000000003</v>
      </c>
      <c r="H144" s="15">
        <f>H145+H146</f>
        <v>0</v>
      </c>
      <c r="I144" s="15">
        <f>I145+I146</f>
        <v>0</v>
      </c>
    </row>
    <row r="145" spans="1:9" s="3" customFormat="1" ht="47.25">
      <c r="A145" s="45" t="s">
        <v>74</v>
      </c>
      <c r="B145" s="19" t="s">
        <v>6</v>
      </c>
      <c r="C145" s="19" t="s">
        <v>55</v>
      </c>
      <c r="D145" s="19" t="s">
        <v>136</v>
      </c>
      <c r="E145" s="19" t="s">
        <v>73</v>
      </c>
      <c r="F145" s="21"/>
      <c r="G145" s="15">
        <f>10+15</f>
        <v>25</v>
      </c>
      <c r="H145" s="15"/>
      <c r="I145" s="15"/>
    </row>
    <row r="146" spans="1:9" s="3" customFormat="1" ht="47.25">
      <c r="A146" s="76" t="s">
        <v>231</v>
      </c>
      <c r="B146" s="19" t="s">
        <v>6</v>
      </c>
      <c r="C146" s="19" t="s">
        <v>55</v>
      </c>
      <c r="D146" s="19" t="s">
        <v>136</v>
      </c>
      <c r="E146" s="19" t="s">
        <v>86</v>
      </c>
      <c r="F146" s="21"/>
      <c r="G146" s="15">
        <f>9.374+8+111.295+55.81+5.443+3.306+2.444+15</f>
        <v>210.67200000000003</v>
      </c>
      <c r="H146" s="15"/>
      <c r="I146" s="15"/>
    </row>
    <row r="147" spans="1:9" s="56" customFormat="1" ht="31.5">
      <c r="A147" s="41" t="s">
        <v>19</v>
      </c>
      <c r="B147" s="30" t="s">
        <v>9</v>
      </c>
      <c r="C147" s="30"/>
      <c r="D147" s="30"/>
      <c r="E147" s="30"/>
      <c r="F147" s="28"/>
      <c r="G147" s="29">
        <f aca="true" t="shared" si="7" ref="G147:I150">G148</f>
        <v>0</v>
      </c>
      <c r="H147" s="29">
        <f t="shared" si="7"/>
        <v>40</v>
      </c>
      <c r="I147" s="29">
        <f t="shared" si="7"/>
        <v>40</v>
      </c>
    </row>
    <row r="148" spans="1:9" s="53" customFormat="1" ht="63" customHeight="1">
      <c r="A148" s="41" t="s">
        <v>49</v>
      </c>
      <c r="B148" s="9" t="s">
        <v>9</v>
      </c>
      <c r="C148" s="9" t="s">
        <v>21</v>
      </c>
      <c r="D148" s="9"/>
      <c r="E148" s="9"/>
      <c r="F148" s="11">
        <f>F154+F157</f>
        <v>91.6</v>
      </c>
      <c r="G148" s="12">
        <f t="shared" si="7"/>
        <v>0</v>
      </c>
      <c r="H148" s="12">
        <f t="shared" si="7"/>
        <v>40</v>
      </c>
      <c r="I148" s="12">
        <f t="shared" si="7"/>
        <v>40</v>
      </c>
    </row>
    <row r="149" spans="1:9" s="53" customFormat="1" ht="31.5">
      <c r="A149" s="39" t="s">
        <v>76</v>
      </c>
      <c r="B149" s="19" t="s">
        <v>9</v>
      </c>
      <c r="C149" s="19" t="s">
        <v>21</v>
      </c>
      <c r="D149" s="19" t="s">
        <v>119</v>
      </c>
      <c r="E149" s="19"/>
      <c r="F149" s="11"/>
      <c r="G149" s="26">
        <f>G150+G152</f>
        <v>0</v>
      </c>
      <c r="H149" s="26">
        <f t="shared" si="7"/>
        <v>40</v>
      </c>
      <c r="I149" s="26">
        <f t="shared" si="7"/>
        <v>40</v>
      </c>
    </row>
    <row r="150" spans="1:9" s="53" customFormat="1" ht="48.75" customHeight="1">
      <c r="A150" s="45" t="s">
        <v>87</v>
      </c>
      <c r="B150" s="19" t="s">
        <v>9</v>
      </c>
      <c r="C150" s="19" t="s">
        <v>21</v>
      </c>
      <c r="D150" s="19" t="s">
        <v>137</v>
      </c>
      <c r="E150" s="19"/>
      <c r="F150" s="11"/>
      <c r="G150" s="26">
        <f t="shared" si="7"/>
        <v>0</v>
      </c>
      <c r="H150" s="26">
        <f t="shared" si="7"/>
        <v>40</v>
      </c>
      <c r="I150" s="26">
        <f t="shared" si="7"/>
        <v>40</v>
      </c>
    </row>
    <row r="151" spans="1:9" s="3" customFormat="1" ht="48" customHeight="1">
      <c r="A151" s="45" t="s">
        <v>74</v>
      </c>
      <c r="B151" s="19" t="s">
        <v>9</v>
      </c>
      <c r="C151" s="19" t="s">
        <v>21</v>
      </c>
      <c r="D151" s="19" t="s">
        <v>137</v>
      </c>
      <c r="E151" s="19" t="s">
        <v>73</v>
      </c>
      <c r="F151" s="14" t="e">
        <f>#REF!</f>
        <v>#REF!</v>
      </c>
      <c r="G151" s="15">
        <f>20-1.506-18.494</f>
        <v>0</v>
      </c>
      <c r="H151" s="15">
        <v>40</v>
      </c>
      <c r="I151" s="15">
        <v>40</v>
      </c>
    </row>
    <row r="152" spans="1:9" s="3" customFormat="1" ht="35.25" customHeight="1" hidden="1">
      <c r="A152" s="61" t="s">
        <v>101</v>
      </c>
      <c r="B152" s="19" t="s">
        <v>9</v>
      </c>
      <c r="C152" s="19" t="s">
        <v>21</v>
      </c>
      <c r="D152" s="19" t="s">
        <v>99</v>
      </c>
      <c r="E152" s="19"/>
      <c r="F152" s="14"/>
      <c r="G152" s="15">
        <f>G153</f>
        <v>0</v>
      </c>
      <c r="H152" s="15">
        <f>H153</f>
        <v>0</v>
      </c>
      <c r="I152" s="15">
        <f>I153</f>
        <v>0</v>
      </c>
    </row>
    <row r="153" spans="1:9" s="3" customFormat="1" ht="48" customHeight="1" hidden="1">
      <c r="A153" s="45" t="s">
        <v>74</v>
      </c>
      <c r="B153" s="19" t="s">
        <v>9</v>
      </c>
      <c r="C153" s="19" t="s">
        <v>21</v>
      </c>
      <c r="D153" s="19" t="s">
        <v>99</v>
      </c>
      <c r="E153" s="19" t="s">
        <v>73</v>
      </c>
      <c r="F153" s="14"/>
      <c r="G153" s="15"/>
      <c r="H153" s="15"/>
      <c r="I153" s="15"/>
    </row>
    <row r="154" spans="1:9" s="53" customFormat="1" ht="17.25" customHeight="1">
      <c r="A154" s="34" t="s">
        <v>47</v>
      </c>
      <c r="B154" s="9" t="s">
        <v>11</v>
      </c>
      <c r="C154" s="9"/>
      <c r="D154" s="9"/>
      <c r="E154" s="9"/>
      <c r="F154" s="11">
        <f>F155+F158</f>
        <v>49.8</v>
      </c>
      <c r="G154" s="12">
        <f>G155+G161+G165</f>
        <v>1314.3200000000002</v>
      </c>
      <c r="H154" s="12">
        <f>H155+H161+H165</f>
        <v>800.6</v>
      </c>
      <c r="I154" s="12">
        <f>I155+I161+I165</f>
        <v>877.1999999999999</v>
      </c>
    </row>
    <row r="155" spans="1:9" s="56" customFormat="1" ht="15.75">
      <c r="A155" s="41" t="s">
        <v>59</v>
      </c>
      <c r="B155" s="30" t="s">
        <v>11</v>
      </c>
      <c r="C155" s="30" t="s">
        <v>20</v>
      </c>
      <c r="D155" s="30"/>
      <c r="E155" s="30"/>
      <c r="F155" s="28">
        <f>F157</f>
        <v>41.8</v>
      </c>
      <c r="G155" s="29">
        <f>G156</f>
        <v>51.9</v>
      </c>
      <c r="H155" s="29">
        <f>H156</f>
        <v>51.9</v>
      </c>
      <c r="I155" s="29">
        <f>I156</f>
        <v>51.9</v>
      </c>
    </row>
    <row r="156" spans="1:9" s="3" customFormat="1" ht="31.5">
      <c r="A156" s="39" t="s">
        <v>76</v>
      </c>
      <c r="B156" s="23" t="s">
        <v>11</v>
      </c>
      <c r="C156" s="23" t="s">
        <v>20</v>
      </c>
      <c r="D156" s="23" t="s">
        <v>119</v>
      </c>
      <c r="E156" s="23"/>
      <c r="F156" s="14">
        <f>F157</f>
        <v>41.8</v>
      </c>
      <c r="G156" s="15">
        <f>G157+G159</f>
        <v>51.9</v>
      </c>
      <c r="H156" s="15">
        <f>H157+H159</f>
        <v>51.9</v>
      </c>
      <c r="I156" s="15">
        <f>I157+I159</f>
        <v>51.9</v>
      </c>
    </row>
    <row r="157" spans="1:9" s="3" customFormat="1" ht="96" customHeight="1">
      <c r="A157" s="45" t="s">
        <v>280</v>
      </c>
      <c r="B157" s="23" t="s">
        <v>11</v>
      </c>
      <c r="C157" s="23" t="s">
        <v>20</v>
      </c>
      <c r="D157" s="23" t="s">
        <v>192</v>
      </c>
      <c r="E157" s="23"/>
      <c r="F157" s="14">
        <f>165-123.2</f>
        <v>41.8</v>
      </c>
      <c r="G157" s="15">
        <f aca="true" t="shared" si="8" ref="G157:I159">G158</f>
        <v>51.9</v>
      </c>
      <c r="H157" s="15">
        <f t="shared" si="8"/>
        <v>51.9</v>
      </c>
      <c r="I157" s="15">
        <f t="shared" si="8"/>
        <v>51.9</v>
      </c>
    </row>
    <row r="158" spans="1:9" s="3" customFormat="1" ht="47.25">
      <c r="A158" s="45" t="s">
        <v>74</v>
      </c>
      <c r="B158" s="23" t="s">
        <v>11</v>
      </c>
      <c r="C158" s="23" t="s">
        <v>20</v>
      </c>
      <c r="D158" s="23" t="s">
        <v>192</v>
      </c>
      <c r="E158" s="23" t="s">
        <v>73</v>
      </c>
      <c r="F158" s="14">
        <f>F159</f>
        <v>8</v>
      </c>
      <c r="G158" s="15">
        <v>51.9</v>
      </c>
      <c r="H158" s="15">
        <v>51.9</v>
      </c>
      <c r="I158" s="15">
        <v>51.9</v>
      </c>
    </row>
    <row r="159" spans="1:9" s="3" customFormat="1" ht="94.5" hidden="1">
      <c r="A159" s="45" t="s">
        <v>88</v>
      </c>
      <c r="B159" s="23" t="s">
        <v>11</v>
      </c>
      <c r="C159" s="23" t="s">
        <v>20</v>
      </c>
      <c r="D159" s="23" t="s">
        <v>89</v>
      </c>
      <c r="E159" s="23"/>
      <c r="F159" s="14">
        <f>F160</f>
        <v>8</v>
      </c>
      <c r="G159" s="15">
        <f t="shared" si="8"/>
        <v>0</v>
      </c>
      <c r="H159" s="15">
        <f t="shared" si="8"/>
        <v>0</v>
      </c>
      <c r="I159" s="15">
        <f t="shared" si="8"/>
        <v>0</v>
      </c>
    </row>
    <row r="160" spans="1:9" s="3" customFormat="1" ht="47.25" hidden="1">
      <c r="A160" s="45" t="s">
        <v>74</v>
      </c>
      <c r="B160" s="23" t="s">
        <v>11</v>
      </c>
      <c r="C160" s="23" t="s">
        <v>20</v>
      </c>
      <c r="D160" s="23" t="s">
        <v>89</v>
      </c>
      <c r="E160" s="23" t="s">
        <v>73</v>
      </c>
      <c r="F160" s="14">
        <v>8</v>
      </c>
      <c r="G160" s="15">
        <f>320-320</f>
        <v>0</v>
      </c>
      <c r="H160" s="15"/>
      <c r="I160" s="15"/>
    </row>
    <row r="161" spans="1:9" s="53" customFormat="1" ht="15.75">
      <c r="A161" s="34" t="s">
        <v>50</v>
      </c>
      <c r="B161" s="9" t="s">
        <v>11</v>
      </c>
      <c r="C161" s="9" t="s">
        <v>21</v>
      </c>
      <c r="D161" s="9"/>
      <c r="E161" s="9"/>
      <c r="F161" s="11" t="e">
        <f>#REF!</f>
        <v>#REF!</v>
      </c>
      <c r="G161" s="12">
        <f>G162</f>
        <v>1095</v>
      </c>
      <c r="H161" s="12">
        <f>H162</f>
        <v>598.7</v>
      </c>
      <c r="I161" s="12">
        <f>I162</f>
        <v>675.3</v>
      </c>
    </row>
    <row r="162" spans="1:9" s="53" customFormat="1" ht="63">
      <c r="A162" s="59" t="s">
        <v>324</v>
      </c>
      <c r="B162" s="23" t="s">
        <v>11</v>
      </c>
      <c r="C162" s="23" t="s">
        <v>21</v>
      </c>
      <c r="D162" s="10" t="s">
        <v>138</v>
      </c>
      <c r="E162" s="10"/>
      <c r="F162" s="10"/>
      <c r="G162" s="26">
        <f aca="true" t="shared" si="9" ref="G162:I163">G163</f>
        <v>1095</v>
      </c>
      <c r="H162" s="26">
        <f t="shared" si="9"/>
        <v>598.7</v>
      </c>
      <c r="I162" s="26">
        <f t="shared" si="9"/>
        <v>675.3</v>
      </c>
    </row>
    <row r="163" spans="1:9" s="53" customFormat="1" ht="31.5">
      <c r="A163" s="51" t="s">
        <v>98</v>
      </c>
      <c r="B163" s="23" t="s">
        <v>11</v>
      </c>
      <c r="C163" s="23" t="s">
        <v>21</v>
      </c>
      <c r="D163" s="10" t="s">
        <v>139</v>
      </c>
      <c r="E163" s="10"/>
      <c r="F163" s="10"/>
      <c r="G163" s="26">
        <f t="shared" si="9"/>
        <v>1095</v>
      </c>
      <c r="H163" s="26">
        <f t="shared" si="9"/>
        <v>598.7</v>
      </c>
      <c r="I163" s="26">
        <f t="shared" si="9"/>
        <v>675.3</v>
      </c>
    </row>
    <row r="164" spans="1:9" s="53" customFormat="1" ht="47.25">
      <c r="A164" s="45" t="s">
        <v>74</v>
      </c>
      <c r="B164" s="23" t="s">
        <v>11</v>
      </c>
      <c r="C164" s="23" t="s">
        <v>21</v>
      </c>
      <c r="D164" s="10" t="s">
        <v>139</v>
      </c>
      <c r="E164" s="10" t="s">
        <v>73</v>
      </c>
      <c r="F164" s="10" t="s">
        <v>73</v>
      </c>
      <c r="G164" s="26">
        <f>535.4+59.6+495.6+4.4</f>
        <v>1095</v>
      </c>
      <c r="H164" s="26">
        <v>598.7</v>
      </c>
      <c r="I164" s="26">
        <v>675.3</v>
      </c>
    </row>
    <row r="165" spans="1:9" s="53" customFormat="1" ht="31.5">
      <c r="A165" s="34" t="s">
        <v>22</v>
      </c>
      <c r="B165" s="9" t="s">
        <v>11</v>
      </c>
      <c r="C165" s="9" t="s">
        <v>16</v>
      </c>
      <c r="D165" s="9"/>
      <c r="E165" s="9"/>
      <c r="F165" s="11" t="e">
        <f>F166+#REF!</f>
        <v>#REF!</v>
      </c>
      <c r="G165" s="12">
        <f>G166</f>
        <v>167.42000000000002</v>
      </c>
      <c r="H165" s="12">
        <f>H166</f>
        <v>150</v>
      </c>
      <c r="I165" s="12">
        <f>I166</f>
        <v>150</v>
      </c>
    </row>
    <row r="166" spans="1:9" s="3" customFormat="1" ht="31.5">
      <c r="A166" s="39" t="s">
        <v>76</v>
      </c>
      <c r="B166" s="19" t="s">
        <v>11</v>
      </c>
      <c r="C166" s="19" t="s">
        <v>16</v>
      </c>
      <c r="D166" s="19" t="s">
        <v>119</v>
      </c>
      <c r="E166" s="19"/>
      <c r="F166" s="14">
        <f aca="true" t="shared" si="10" ref="F166:I167">F167</f>
        <v>300</v>
      </c>
      <c r="G166" s="15">
        <f>G167+G169</f>
        <v>167.42000000000002</v>
      </c>
      <c r="H166" s="15">
        <f>H167+H169</f>
        <v>150</v>
      </c>
      <c r="I166" s="15">
        <f>I167+I169</f>
        <v>150</v>
      </c>
    </row>
    <row r="167" spans="1:9" s="3" customFormat="1" ht="31.5">
      <c r="A167" s="45" t="s">
        <v>23</v>
      </c>
      <c r="B167" s="19" t="s">
        <v>11</v>
      </c>
      <c r="C167" s="19" t="s">
        <v>16</v>
      </c>
      <c r="D167" s="19" t="s">
        <v>140</v>
      </c>
      <c r="E167" s="19"/>
      <c r="F167" s="14">
        <f t="shared" si="10"/>
        <v>300</v>
      </c>
      <c r="G167" s="15">
        <f t="shared" si="10"/>
        <v>67.42</v>
      </c>
      <c r="H167" s="15">
        <f t="shared" si="10"/>
        <v>150</v>
      </c>
      <c r="I167" s="15">
        <f t="shared" si="10"/>
        <v>150</v>
      </c>
    </row>
    <row r="168" spans="1:9" s="3" customFormat="1" ht="47.25">
      <c r="A168" s="45" t="s">
        <v>74</v>
      </c>
      <c r="B168" s="19" t="s">
        <v>11</v>
      </c>
      <c r="C168" s="19" t="s">
        <v>16</v>
      </c>
      <c r="D168" s="19" t="s">
        <v>140</v>
      </c>
      <c r="E168" s="19" t="s">
        <v>73</v>
      </c>
      <c r="F168" s="14">
        <v>300</v>
      </c>
      <c r="G168" s="15">
        <f>80-12.58</f>
        <v>67.42</v>
      </c>
      <c r="H168" s="15">
        <v>150</v>
      </c>
      <c r="I168" s="15">
        <v>150</v>
      </c>
    </row>
    <row r="169" spans="1:9" s="3" customFormat="1" ht="97.5" customHeight="1">
      <c r="A169" s="45" t="s">
        <v>201</v>
      </c>
      <c r="B169" s="19" t="s">
        <v>11</v>
      </c>
      <c r="C169" s="19" t="s">
        <v>16</v>
      </c>
      <c r="D169" s="19" t="s">
        <v>200</v>
      </c>
      <c r="E169" s="19"/>
      <c r="F169" s="14"/>
      <c r="G169" s="15">
        <f>G170</f>
        <v>100</v>
      </c>
      <c r="H169" s="15">
        <f>H170</f>
        <v>0</v>
      </c>
      <c r="I169" s="15">
        <f>I170</f>
        <v>0</v>
      </c>
    </row>
    <row r="170" spans="1:9" s="3" customFormat="1" ht="47.25">
      <c r="A170" s="45" t="s">
        <v>74</v>
      </c>
      <c r="B170" s="19" t="s">
        <v>11</v>
      </c>
      <c r="C170" s="19" t="s">
        <v>16</v>
      </c>
      <c r="D170" s="19" t="s">
        <v>200</v>
      </c>
      <c r="E170" s="19" t="s">
        <v>73</v>
      </c>
      <c r="F170" s="14"/>
      <c r="G170" s="15">
        <v>100</v>
      </c>
      <c r="H170" s="15"/>
      <c r="I170" s="15"/>
    </row>
    <row r="171" spans="1:9" s="3" customFormat="1" ht="15.75">
      <c r="A171" s="34" t="s">
        <v>24</v>
      </c>
      <c r="B171" s="9" t="s">
        <v>20</v>
      </c>
      <c r="C171" s="19"/>
      <c r="D171" s="19"/>
      <c r="E171" s="19"/>
      <c r="F171" s="11" t="e">
        <f>#REF!+F176+#REF!</f>
        <v>#REF!</v>
      </c>
      <c r="G171" s="12">
        <f>G176+G172</f>
        <v>18789.072</v>
      </c>
      <c r="H171" s="12">
        <f>H176+H172</f>
        <v>17057.000000000004</v>
      </c>
      <c r="I171" s="12">
        <f>I176+I172</f>
        <v>17257.000000000004</v>
      </c>
    </row>
    <row r="172" spans="1:9" s="56" customFormat="1" ht="15.75">
      <c r="A172" s="41" t="s">
        <v>210</v>
      </c>
      <c r="B172" s="30" t="s">
        <v>20</v>
      </c>
      <c r="C172" s="30" t="s">
        <v>6</v>
      </c>
      <c r="D172" s="30"/>
      <c r="E172" s="30"/>
      <c r="F172" s="28"/>
      <c r="G172" s="29">
        <f aca="true" t="shared" si="11" ref="G172:I174">G173</f>
        <v>4.991999999999999</v>
      </c>
      <c r="H172" s="29">
        <f t="shared" si="11"/>
        <v>26.2</v>
      </c>
      <c r="I172" s="29">
        <f t="shared" si="11"/>
        <v>26.2</v>
      </c>
    </row>
    <row r="173" spans="1:9" s="3" customFormat="1" ht="31.5">
      <c r="A173" s="39" t="s">
        <v>76</v>
      </c>
      <c r="B173" s="23" t="s">
        <v>20</v>
      </c>
      <c r="C173" s="23" t="s">
        <v>6</v>
      </c>
      <c r="D173" s="19" t="s">
        <v>119</v>
      </c>
      <c r="E173" s="19"/>
      <c r="F173" s="11"/>
      <c r="G173" s="26">
        <f t="shared" si="11"/>
        <v>4.991999999999999</v>
      </c>
      <c r="H173" s="26">
        <f t="shared" si="11"/>
        <v>26.2</v>
      </c>
      <c r="I173" s="26">
        <f t="shared" si="11"/>
        <v>26.2</v>
      </c>
    </row>
    <row r="174" spans="1:9" s="3" customFormat="1" ht="31.5">
      <c r="A174" s="45" t="s">
        <v>213</v>
      </c>
      <c r="B174" s="23" t="s">
        <v>20</v>
      </c>
      <c r="C174" s="23" t="s">
        <v>6</v>
      </c>
      <c r="D174" s="19" t="s">
        <v>211</v>
      </c>
      <c r="E174" s="19"/>
      <c r="F174" s="11"/>
      <c r="G174" s="26">
        <f t="shared" si="11"/>
        <v>4.991999999999999</v>
      </c>
      <c r="H174" s="26">
        <f t="shared" si="11"/>
        <v>26.2</v>
      </c>
      <c r="I174" s="26">
        <f t="shared" si="11"/>
        <v>26.2</v>
      </c>
    </row>
    <row r="175" spans="1:9" s="3" customFormat="1" ht="47.25">
      <c r="A175" s="45" t="s">
        <v>74</v>
      </c>
      <c r="B175" s="23" t="s">
        <v>20</v>
      </c>
      <c r="C175" s="23" t="s">
        <v>6</v>
      </c>
      <c r="D175" s="19" t="s">
        <v>211</v>
      </c>
      <c r="E175" s="19" t="s">
        <v>73</v>
      </c>
      <c r="F175" s="11"/>
      <c r="G175" s="26">
        <f>26.2-10-11.208</f>
        <v>4.991999999999999</v>
      </c>
      <c r="H175" s="26">
        <v>26.2</v>
      </c>
      <c r="I175" s="26">
        <v>26.2</v>
      </c>
    </row>
    <row r="176" spans="1:9" s="53" customFormat="1" ht="15.75">
      <c r="A176" s="34" t="s">
        <v>25</v>
      </c>
      <c r="B176" s="9" t="s">
        <v>20</v>
      </c>
      <c r="C176" s="9" t="s">
        <v>7</v>
      </c>
      <c r="D176" s="9"/>
      <c r="E176" s="9"/>
      <c r="F176" s="11" t="e">
        <f>F189+#REF!</f>
        <v>#REF!</v>
      </c>
      <c r="G176" s="12">
        <f>G187+G177</f>
        <v>18784.08</v>
      </c>
      <c r="H176" s="12">
        <f>H187+H177</f>
        <v>17030.800000000003</v>
      </c>
      <c r="I176" s="12">
        <f>I187+I177</f>
        <v>17230.800000000003</v>
      </c>
    </row>
    <row r="177" spans="1:9" s="3" customFormat="1" ht="93.75" customHeight="1">
      <c r="A177" s="75" t="s">
        <v>323</v>
      </c>
      <c r="B177" s="19" t="s">
        <v>20</v>
      </c>
      <c r="C177" s="19" t="s">
        <v>7</v>
      </c>
      <c r="D177" s="19" t="s">
        <v>133</v>
      </c>
      <c r="E177" s="19"/>
      <c r="F177" s="21"/>
      <c r="G177" s="15">
        <f>G178</f>
        <v>17701.616</v>
      </c>
      <c r="H177" s="15">
        <f>H178</f>
        <v>17030.800000000003</v>
      </c>
      <c r="I177" s="15">
        <f>I178</f>
        <v>17230.800000000003</v>
      </c>
    </row>
    <row r="178" spans="1:9" s="3" customFormat="1" ht="31.5">
      <c r="A178" s="32" t="s">
        <v>224</v>
      </c>
      <c r="B178" s="19" t="s">
        <v>20</v>
      </c>
      <c r="C178" s="19" t="s">
        <v>7</v>
      </c>
      <c r="D178" s="19" t="s">
        <v>194</v>
      </c>
      <c r="E178" s="19"/>
      <c r="F178" s="21"/>
      <c r="G178" s="15">
        <f>G179+G180+G181+G182+G184+G185+G186+G183</f>
        <v>17701.616</v>
      </c>
      <c r="H178" s="15">
        <f>H179+H180+H181+H182+H184+H185+H186+H183</f>
        <v>17030.800000000003</v>
      </c>
      <c r="I178" s="15">
        <f>I179+I180+I181+I182+I184+I185+I186+I183</f>
        <v>17230.800000000003</v>
      </c>
    </row>
    <row r="179" spans="1:9" s="53" customFormat="1" ht="15.75">
      <c r="A179" s="65" t="s">
        <v>188</v>
      </c>
      <c r="B179" s="19" t="s">
        <v>20</v>
      </c>
      <c r="C179" s="19" t="s">
        <v>7</v>
      </c>
      <c r="D179" s="19" t="s">
        <v>194</v>
      </c>
      <c r="E179" s="19" t="s">
        <v>84</v>
      </c>
      <c r="F179" s="11"/>
      <c r="G179" s="26">
        <f>5818.6-400+220</f>
        <v>5638.6</v>
      </c>
      <c r="H179" s="26">
        <v>5818.6</v>
      </c>
      <c r="I179" s="26">
        <v>5818.6</v>
      </c>
    </row>
    <row r="180" spans="1:9" s="53" customFormat="1" ht="47.25" hidden="1">
      <c r="A180" s="65" t="s">
        <v>81</v>
      </c>
      <c r="B180" s="19" t="s">
        <v>20</v>
      </c>
      <c r="C180" s="19" t="s">
        <v>7</v>
      </c>
      <c r="D180" s="19" t="s">
        <v>194</v>
      </c>
      <c r="E180" s="19" t="s">
        <v>65</v>
      </c>
      <c r="F180" s="11"/>
      <c r="G180" s="26"/>
      <c r="H180" s="26"/>
      <c r="I180" s="26"/>
    </row>
    <row r="181" spans="1:9" s="53" customFormat="1" ht="63">
      <c r="A181" s="39" t="s">
        <v>189</v>
      </c>
      <c r="B181" s="19" t="s">
        <v>20</v>
      </c>
      <c r="C181" s="19" t="s">
        <v>7</v>
      </c>
      <c r="D181" s="19" t="s">
        <v>194</v>
      </c>
      <c r="E181" s="19" t="s">
        <v>149</v>
      </c>
      <c r="F181" s="11"/>
      <c r="G181" s="26">
        <f>1757.3-120-529</f>
        <v>1108.3</v>
      </c>
      <c r="H181" s="26">
        <v>1757.3</v>
      </c>
      <c r="I181" s="26">
        <v>1757.3</v>
      </c>
    </row>
    <row r="182" spans="1:9" s="53" customFormat="1" ht="47.25">
      <c r="A182" s="65" t="s">
        <v>74</v>
      </c>
      <c r="B182" s="19" t="s">
        <v>20</v>
      </c>
      <c r="C182" s="19" t="s">
        <v>7</v>
      </c>
      <c r="D182" s="19" t="s">
        <v>194</v>
      </c>
      <c r="E182" s="54" t="s">
        <v>73</v>
      </c>
      <c r="F182" s="11"/>
      <c r="G182" s="26">
        <f>8971.9-350+13+7.7+46.43+45+150+18.833+95.097+31.59+200.011+17.514+8.275+26.2+90+1010.765+60-9.383</f>
        <v>10432.932</v>
      </c>
      <c r="H182" s="26">
        <v>8600</v>
      </c>
      <c r="I182" s="26">
        <v>8800</v>
      </c>
    </row>
    <row r="183" spans="1:9" s="53" customFormat="1" ht="47.25" hidden="1">
      <c r="A183" s="76" t="s">
        <v>231</v>
      </c>
      <c r="B183" s="19" t="s">
        <v>20</v>
      </c>
      <c r="C183" s="19" t="s">
        <v>7</v>
      </c>
      <c r="D183" s="19" t="s">
        <v>194</v>
      </c>
      <c r="E183" s="54" t="s">
        <v>86</v>
      </c>
      <c r="F183" s="11"/>
      <c r="G183" s="26"/>
      <c r="H183" s="26"/>
      <c r="I183" s="26"/>
    </row>
    <row r="184" spans="1:9" s="53" customFormat="1" ht="31.5">
      <c r="A184" s="76" t="s">
        <v>75</v>
      </c>
      <c r="B184" s="19" t="s">
        <v>20</v>
      </c>
      <c r="C184" s="19" t="s">
        <v>7</v>
      </c>
      <c r="D184" s="19" t="s">
        <v>194</v>
      </c>
      <c r="E184" s="54" t="s">
        <v>77</v>
      </c>
      <c r="F184" s="11"/>
      <c r="G184" s="26">
        <f>68.9-17.514</f>
        <v>51.38600000000001</v>
      </c>
      <c r="H184" s="26">
        <v>54.9</v>
      </c>
      <c r="I184" s="26">
        <v>54.9</v>
      </c>
    </row>
    <row r="185" spans="1:9" s="53" customFormat="1" ht="31.5">
      <c r="A185" s="76" t="s">
        <v>82</v>
      </c>
      <c r="B185" s="19" t="s">
        <v>20</v>
      </c>
      <c r="C185" s="19" t="s">
        <v>7</v>
      </c>
      <c r="D185" s="19" t="s">
        <v>194</v>
      </c>
      <c r="E185" s="54" t="s">
        <v>85</v>
      </c>
      <c r="F185" s="11"/>
      <c r="G185" s="26">
        <f>650-13-140.856-26.2-51.529+0.411</f>
        <v>418.826</v>
      </c>
      <c r="H185" s="26"/>
      <c r="I185" s="26"/>
    </row>
    <row r="186" spans="1:9" s="53" customFormat="1" ht="15.75">
      <c r="A186" s="76" t="s">
        <v>214</v>
      </c>
      <c r="B186" s="19" t="s">
        <v>20</v>
      </c>
      <c r="C186" s="19" t="s">
        <v>7</v>
      </c>
      <c r="D186" s="19" t="s">
        <v>194</v>
      </c>
      <c r="E186" s="54" t="s">
        <v>212</v>
      </c>
      <c r="F186" s="11"/>
      <c r="G186" s="26">
        <f>700-650-0.411-7.4+9.383</f>
        <v>51.572</v>
      </c>
      <c r="H186" s="26">
        <v>800</v>
      </c>
      <c r="I186" s="26">
        <v>800</v>
      </c>
    </row>
    <row r="187" spans="1:9" s="53" customFormat="1" ht="31.5">
      <c r="A187" s="39" t="s">
        <v>76</v>
      </c>
      <c r="B187" s="19" t="s">
        <v>20</v>
      </c>
      <c r="C187" s="19" t="s">
        <v>7</v>
      </c>
      <c r="D187" s="19" t="s">
        <v>119</v>
      </c>
      <c r="E187" s="19"/>
      <c r="F187" s="11"/>
      <c r="G187" s="26">
        <f>G188+G191</f>
        <v>1082.4640000000004</v>
      </c>
      <c r="H187" s="26">
        <f>H188+H191</f>
        <v>0</v>
      </c>
      <c r="I187" s="26">
        <f>I188+I191</f>
        <v>0</v>
      </c>
    </row>
    <row r="188" spans="1:9" s="53" customFormat="1" ht="31.5">
      <c r="A188" s="45" t="s">
        <v>90</v>
      </c>
      <c r="B188" s="19" t="s">
        <v>20</v>
      </c>
      <c r="C188" s="19" t="s">
        <v>7</v>
      </c>
      <c r="D188" s="19" t="s">
        <v>141</v>
      </c>
      <c r="E188" s="19"/>
      <c r="F188" s="11"/>
      <c r="G188" s="26">
        <f>G189+G190</f>
        <v>918.9010000000003</v>
      </c>
      <c r="H188" s="26">
        <f>H189+H190</f>
        <v>0</v>
      </c>
      <c r="I188" s="26">
        <f>I189+I190</f>
        <v>0</v>
      </c>
    </row>
    <row r="189" spans="1:9" s="3" customFormat="1" ht="47.25">
      <c r="A189" s="45" t="s">
        <v>74</v>
      </c>
      <c r="B189" s="19" t="s">
        <v>20</v>
      </c>
      <c r="C189" s="19" t="s">
        <v>7</v>
      </c>
      <c r="D189" s="19" t="s">
        <v>141</v>
      </c>
      <c r="E189" s="19" t="s">
        <v>73</v>
      </c>
      <c r="F189" s="14" t="e">
        <f>#REF!</f>
        <v>#REF!</v>
      </c>
      <c r="G189" s="15">
        <f>2565.3-140-400+1122.3-139.254-180-111.295-55.81-5.443-45-46.201-306-330-41.378-200.011-1.544-2.444-15-801.919</f>
        <v>866.3010000000003</v>
      </c>
      <c r="H189" s="15"/>
      <c r="I189" s="15"/>
    </row>
    <row r="190" spans="1:9" s="3" customFormat="1" ht="47.25">
      <c r="A190" s="76" t="s">
        <v>231</v>
      </c>
      <c r="B190" s="19" t="s">
        <v>20</v>
      </c>
      <c r="C190" s="19" t="s">
        <v>7</v>
      </c>
      <c r="D190" s="19" t="s">
        <v>141</v>
      </c>
      <c r="E190" s="19" t="s">
        <v>86</v>
      </c>
      <c r="F190" s="14"/>
      <c r="G190" s="15">
        <v>52.6</v>
      </c>
      <c r="H190" s="15"/>
      <c r="I190" s="15"/>
    </row>
    <row r="191" spans="1:9" s="3" customFormat="1" ht="95.25" customHeight="1">
      <c r="A191" s="39" t="s">
        <v>281</v>
      </c>
      <c r="B191" s="19" t="s">
        <v>20</v>
      </c>
      <c r="C191" s="19" t="s">
        <v>7</v>
      </c>
      <c r="D191" s="19" t="s">
        <v>142</v>
      </c>
      <c r="E191" s="19"/>
      <c r="F191" s="14"/>
      <c r="G191" s="15">
        <f>G192</f>
        <v>163.563</v>
      </c>
      <c r="H191" s="15">
        <f>H192</f>
        <v>0</v>
      </c>
      <c r="I191" s="15">
        <f>I192</f>
        <v>0</v>
      </c>
    </row>
    <row r="192" spans="1:9" s="3" customFormat="1" ht="80.25" customHeight="1">
      <c r="A192" s="67" t="s">
        <v>256</v>
      </c>
      <c r="B192" s="19" t="s">
        <v>20</v>
      </c>
      <c r="C192" s="19" t="s">
        <v>7</v>
      </c>
      <c r="D192" s="19" t="s">
        <v>142</v>
      </c>
      <c r="E192" s="19" t="s">
        <v>244</v>
      </c>
      <c r="F192" s="14"/>
      <c r="G192" s="15">
        <f>220-56.437</f>
        <v>163.563</v>
      </c>
      <c r="H192" s="15"/>
      <c r="I192" s="15"/>
    </row>
    <row r="193" spans="1:9" s="53" customFormat="1" ht="15.75">
      <c r="A193" s="34" t="s">
        <v>48</v>
      </c>
      <c r="B193" s="9" t="s">
        <v>26</v>
      </c>
      <c r="C193" s="9"/>
      <c r="D193" s="9"/>
      <c r="E193" s="9"/>
      <c r="F193" s="11">
        <f aca="true" t="shared" si="12" ref="F193:I195">F194</f>
        <v>161.6</v>
      </c>
      <c r="G193" s="12">
        <f>G194</f>
        <v>45.599999999999994</v>
      </c>
      <c r="H193" s="12">
        <f>H194</f>
        <v>350</v>
      </c>
      <c r="I193" s="12">
        <f>I194</f>
        <v>0</v>
      </c>
    </row>
    <row r="194" spans="1:9" s="53" customFormat="1" ht="31.5">
      <c r="A194" s="34" t="s">
        <v>27</v>
      </c>
      <c r="B194" s="9" t="s">
        <v>26</v>
      </c>
      <c r="C194" s="9" t="s">
        <v>9</v>
      </c>
      <c r="D194" s="9"/>
      <c r="E194" s="9"/>
      <c r="F194" s="11">
        <f t="shared" si="12"/>
        <v>161.6</v>
      </c>
      <c r="G194" s="12">
        <f>G195</f>
        <v>45.599999999999994</v>
      </c>
      <c r="H194" s="12">
        <f t="shared" si="12"/>
        <v>350</v>
      </c>
      <c r="I194" s="12">
        <f t="shared" si="12"/>
        <v>0</v>
      </c>
    </row>
    <row r="195" spans="1:9" s="3" customFormat="1" ht="63">
      <c r="A195" s="75" t="s">
        <v>322</v>
      </c>
      <c r="B195" s="19" t="s">
        <v>26</v>
      </c>
      <c r="C195" s="19" t="s">
        <v>9</v>
      </c>
      <c r="D195" s="19" t="s">
        <v>143</v>
      </c>
      <c r="E195" s="19"/>
      <c r="F195" s="14">
        <f>F197</f>
        <v>161.6</v>
      </c>
      <c r="G195" s="15">
        <f>G196</f>
        <v>45.599999999999994</v>
      </c>
      <c r="H195" s="15">
        <f t="shared" si="12"/>
        <v>350</v>
      </c>
      <c r="I195" s="15">
        <f t="shared" si="12"/>
        <v>0</v>
      </c>
    </row>
    <row r="196" spans="1:9" s="3" customFormat="1" ht="15.75">
      <c r="A196" s="45" t="s">
        <v>28</v>
      </c>
      <c r="B196" s="19" t="s">
        <v>26</v>
      </c>
      <c r="C196" s="19" t="s">
        <v>9</v>
      </c>
      <c r="D196" s="19" t="s">
        <v>144</v>
      </c>
      <c r="E196" s="19"/>
      <c r="F196" s="14">
        <f>F197</f>
        <v>161.6</v>
      </c>
      <c r="G196" s="15">
        <f>G197</f>
        <v>45.599999999999994</v>
      </c>
      <c r="H196" s="15">
        <f>H197</f>
        <v>350</v>
      </c>
      <c r="I196" s="15">
        <f>I197</f>
        <v>0</v>
      </c>
    </row>
    <row r="197" spans="1:9" s="3" customFormat="1" ht="47.25">
      <c r="A197" s="45" t="s">
        <v>74</v>
      </c>
      <c r="B197" s="19" t="s">
        <v>26</v>
      </c>
      <c r="C197" s="19" t="s">
        <v>9</v>
      </c>
      <c r="D197" s="19" t="s">
        <v>144</v>
      </c>
      <c r="E197" s="19" t="s">
        <v>73</v>
      </c>
      <c r="F197" s="14">
        <f>220-8-34.5-15.9</f>
        <v>161.6</v>
      </c>
      <c r="G197" s="15">
        <f>250-1.258-20-10-0.133-173.009</f>
        <v>45.599999999999994</v>
      </c>
      <c r="H197" s="15">
        <v>350</v>
      </c>
      <c r="I197" s="15"/>
    </row>
    <row r="198" spans="1:9" s="53" customFormat="1" ht="15.75">
      <c r="A198" s="34" t="s">
        <v>29</v>
      </c>
      <c r="B198" s="9" t="s">
        <v>30</v>
      </c>
      <c r="C198" s="9"/>
      <c r="D198" s="9"/>
      <c r="E198" s="9"/>
      <c r="F198" s="11" t="e">
        <f>F199+F244+#REF!+#REF!</f>
        <v>#REF!</v>
      </c>
      <c r="G198" s="12">
        <f>G199+G244+G330+G285+G314+G338</f>
        <v>167547.87400000004</v>
      </c>
      <c r="H198" s="12">
        <f>H199+H244+H330+H285+H314+H338</f>
        <v>150806.49999999997</v>
      </c>
      <c r="I198" s="12">
        <f>I199+I244+I330+I285+I314+I338</f>
        <v>156204.80000000002</v>
      </c>
    </row>
    <row r="199" spans="1:9" s="53" customFormat="1" ht="15.75">
      <c r="A199" s="34" t="s">
        <v>31</v>
      </c>
      <c r="B199" s="9" t="s">
        <v>30</v>
      </c>
      <c r="C199" s="9" t="s">
        <v>6</v>
      </c>
      <c r="D199" s="9"/>
      <c r="E199" s="9"/>
      <c r="F199" s="11" t="e">
        <f>F240+#REF!+#REF!</f>
        <v>#REF!</v>
      </c>
      <c r="G199" s="12">
        <f>G203+G240+G226</f>
        <v>37099.623</v>
      </c>
      <c r="H199" s="12">
        <f>H203+H240+H226</f>
        <v>37077.7</v>
      </c>
      <c r="I199" s="12">
        <f>I203+I240+I226</f>
        <v>38039.8</v>
      </c>
    </row>
    <row r="200" spans="1:9" s="3" customFormat="1" ht="83.25" customHeight="1" hidden="1">
      <c r="A200" s="70" t="s">
        <v>104</v>
      </c>
      <c r="B200" s="23" t="s">
        <v>30</v>
      </c>
      <c r="C200" s="23" t="s">
        <v>6</v>
      </c>
      <c r="D200" s="23" t="s">
        <v>103</v>
      </c>
      <c r="E200" s="23"/>
      <c r="F200" s="14"/>
      <c r="G200" s="15">
        <f>G202+G201</f>
        <v>0</v>
      </c>
      <c r="H200" s="15">
        <f>H202+H201</f>
        <v>0</v>
      </c>
      <c r="I200" s="15">
        <f>I202+I201</f>
        <v>0</v>
      </c>
    </row>
    <row r="201" spans="1:9" s="3" customFormat="1" ht="47.25" hidden="1">
      <c r="A201" s="40" t="s">
        <v>74</v>
      </c>
      <c r="B201" s="23" t="s">
        <v>30</v>
      </c>
      <c r="C201" s="23" t="s">
        <v>6</v>
      </c>
      <c r="D201" s="23" t="s">
        <v>103</v>
      </c>
      <c r="E201" s="23" t="s">
        <v>73</v>
      </c>
      <c r="F201" s="14"/>
      <c r="G201" s="15"/>
      <c r="H201" s="15"/>
      <c r="I201" s="15"/>
    </row>
    <row r="202" spans="1:9" s="3" customFormat="1" ht="31.5" hidden="1">
      <c r="A202" s="68" t="s">
        <v>64</v>
      </c>
      <c r="B202" s="23" t="s">
        <v>30</v>
      </c>
      <c r="C202" s="23" t="s">
        <v>6</v>
      </c>
      <c r="D202" s="23" t="s">
        <v>103</v>
      </c>
      <c r="E202" s="23" t="s">
        <v>63</v>
      </c>
      <c r="F202" s="14"/>
      <c r="G202" s="15"/>
      <c r="H202" s="15"/>
      <c r="I202" s="15"/>
    </row>
    <row r="203" spans="1:9" s="3" customFormat="1" ht="47.25">
      <c r="A203" s="59" t="s">
        <v>318</v>
      </c>
      <c r="B203" s="19" t="s">
        <v>30</v>
      </c>
      <c r="C203" s="19" t="s">
        <v>6</v>
      </c>
      <c r="D203" s="19" t="s">
        <v>150</v>
      </c>
      <c r="E203" s="19"/>
      <c r="F203" s="14"/>
      <c r="G203" s="15">
        <f>G204+G213+G224</f>
        <v>32789.479</v>
      </c>
      <c r="H203" s="15">
        <f>H204+H213+H224</f>
        <v>33088</v>
      </c>
      <c r="I203" s="15">
        <f>I204+I213+I224</f>
        <v>33852.3</v>
      </c>
    </row>
    <row r="204" spans="1:9" s="3" customFormat="1" ht="31.5">
      <c r="A204" s="50" t="s">
        <v>225</v>
      </c>
      <c r="B204" s="19" t="s">
        <v>30</v>
      </c>
      <c r="C204" s="19" t="s">
        <v>6</v>
      </c>
      <c r="D204" s="19" t="s">
        <v>151</v>
      </c>
      <c r="E204" s="19"/>
      <c r="F204" s="14"/>
      <c r="G204" s="15">
        <f>G205+G206+G208+G210+G211+G207+G209+G212</f>
        <v>18718.779</v>
      </c>
      <c r="H204" s="15">
        <f>H205+H206+H208+H210+H211+H207+H209+H212</f>
        <v>20187.9</v>
      </c>
      <c r="I204" s="15">
        <f>I205+I206+I208+I210+I211+I207+I209+I212</f>
        <v>20287.9</v>
      </c>
    </row>
    <row r="205" spans="1:9" s="3" customFormat="1" ht="15.75">
      <c r="A205" s="65" t="s">
        <v>188</v>
      </c>
      <c r="B205" s="19" t="s">
        <v>30</v>
      </c>
      <c r="C205" s="19" t="s">
        <v>6</v>
      </c>
      <c r="D205" s="19" t="s">
        <v>151</v>
      </c>
      <c r="E205" s="19" t="s">
        <v>84</v>
      </c>
      <c r="F205" s="14"/>
      <c r="G205" s="20">
        <f>7473.6+159.8-200+178.649</f>
        <v>7612.049000000001</v>
      </c>
      <c r="H205" s="15">
        <v>7473.6</v>
      </c>
      <c r="I205" s="15">
        <v>7473.6</v>
      </c>
    </row>
    <row r="206" spans="1:9" s="3" customFormat="1" ht="47.25">
      <c r="A206" s="65" t="s">
        <v>81</v>
      </c>
      <c r="B206" s="19" t="s">
        <v>30</v>
      </c>
      <c r="C206" s="19" t="s">
        <v>6</v>
      </c>
      <c r="D206" s="19" t="s">
        <v>151</v>
      </c>
      <c r="E206" s="19" t="s">
        <v>65</v>
      </c>
      <c r="F206" s="14"/>
      <c r="G206" s="20">
        <f>68-0.02-30+1.57+7.6-12+4.7+2.7-1.8+1.73-1.1</f>
        <v>41.38000000000001</v>
      </c>
      <c r="H206" s="15">
        <v>68.8</v>
      </c>
      <c r="I206" s="15">
        <v>68.8</v>
      </c>
    </row>
    <row r="207" spans="1:9" s="3" customFormat="1" ht="63">
      <c r="A207" s="39" t="s">
        <v>189</v>
      </c>
      <c r="B207" s="19" t="s">
        <v>30</v>
      </c>
      <c r="C207" s="19" t="s">
        <v>6</v>
      </c>
      <c r="D207" s="19" t="s">
        <v>151</v>
      </c>
      <c r="E207" s="19" t="s">
        <v>149</v>
      </c>
      <c r="F207" s="14"/>
      <c r="G207" s="20">
        <f>2256.9-1.3</f>
        <v>2255.6</v>
      </c>
      <c r="H207" s="15">
        <v>2256.9</v>
      </c>
      <c r="I207" s="15">
        <v>2256.9</v>
      </c>
    </row>
    <row r="208" spans="1:9" s="3" customFormat="1" ht="47.25">
      <c r="A208" s="65" t="s">
        <v>74</v>
      </c>
      <c r="B208" s="19" t="s">
        <v>30</v>
      </c>
      <c r="C208" s="19" t="s">
        <v>6</v>
      </c>
      <c r="D208" s="19" t="s">
        <v>151</v>
      </c>
      <c r="E208" s="54" t="s">
        <v>73</v>
      </c>
      <c r="F208" s="14"/>
      <c r="G208" s="20">
        <f>9504.7-900+30-1.57+60-7.6+12-4.7-2.7+1+5+1+1.5+25.02+1.8-7.8+599.61-1.73+3.75-50-809+1.1+2+1.04-25+2.3+2+10+0.3+64+75</f>
        <v>8593.02</v>
      </c>
      <c r="H208" s="15">
        <v>10000</v>
      </c>
      <c r="I208" s="15">
        <v>10100</v>
      </c>
    </row>
    <row r="209" spans="1:9" s="3" customFormat="1" ht="47.25" hidden="1">
      <c r="A209" s="76" t="s">
        <v>231</v>
      </c>
      <c r="B209" s="19" t="s">
        <v>30</v>
      </c>
      <c r="C209" s="19" t="s">
        <v>6</v>
      </c>
      <c r="D209" s="19" t="s">
        <v>151</v>
      </c>
      <c r="E209" s="54" t="s">
        <v>86</v>
      </c>
      <c r="F209" s="14"/>
      <c r="G209" s="20"/>
      <c r="H209" s="15"/>
      <c r="I209" s="15"/>
    </row>
    <row r="210" spans="1:9" s="3" customFormat="1" ht="31.5">
      <c r="A210" s="76" t="s">
        <v>75</v>
      </c>
      <c r="B210" s="19" t="s">
        <v>30</v>
      </c>
      <c r="C210" s="19" t="s">
        <v>6</v>
      </c>
      <c r="D210" s="19" t="s">
        <v>151</v>
      </c>
      <c r="E210" s="54" t="s">
        <v>77</v>
      </c>
      <c r="F210" s="14"/>
      <c r="G210" s="20">
        <f>416.7-1-230.26-0.032-41.254</f>
        <v>144.154</v>
      </c>
      <c r="H210" s="15">
        <v>388.6</v>
      </c>
      <c r="I210" s="15">
        <v>388.6</v>
      </c>
    </row>
    <row r="211" spans="1:9" s="3" customFormat="1" ht="31.5">
      <c r="A211" s="76" t="s">
        <v>82</v>
      </c>
      <c r="B211" s="19" t="s">
        <v>30</v>
      </c>
      <c r="C211" s="19" t="s">
        <v>6</v>
      </c>
      <c r="D211" s="19" t="s">
        <v>151</v>
      </c>
      <c r="E211" s="54" t="s">
        <v>85</v>
      </c>
      <c r="F211" s="14"/>
      <c r="G211" s="20">
        <f>0.5-0.004</f>
        <v>0.496</v>
      </c>
      <c r="H211" s="15"/>
      <c r="I211" s="15"/>
    </row>
    <row r="212" spans="1:9" s="3" customFormat="1" ht="15.75">
      <c r="A212" s="76" t="s">
        <v>214</v>
      </c>
      <c r="B212" s="19" t="s">
        <v>30</v>
      </c>
      <c r="C212" s="19" t="s">
        <v>6</v>
      </c>
      <c r="D212" s="19" t="s">
        <v>151</v>
      </c>
      <c r="E212" s="54" t="s">
        <v>212</v>
      </c>
      <c r="F212" s="14"/>
      <c r="G212" s="20">
        <f>320.6-160-0.1-0.5-20-2.75-0.32-1-5-0.237-1.5-25.02-88.11+1.783+50+0.098+0.075+4.061</f>
        <v>72.08000000000004</v>
      </c>
      <c r="H212" s="15"/>
      <c r="I212" s="15"/>
    </row>
    <row r="213" spans="1:9" s="3" customFormat="1" ht="47.25">
      <c r="A213" s="45" t="s">
        <v>282</v>
      </c>
      <c r="B213" s="23" t="s">
        <v>30</v>
      </c>
      <c r="C213" s="23" t="s">
        <v>6</v>
      </c>
      <c r="D213" s="23" t="s">
        <v>152</v>
      </c>
      <c r="E213" s="23"/>
      <c r="F213" s="14">
        <f>F215</f>
        <v>42</v>
      </c>
      <c r="G213" s="15">
        <f>G214+G218+G222</f>
        <v>14070.700000000003</v>
      </c>
      <c r="H213" s="15">
        <f>H214+H218+H222</f>
        <v>12900.1</v>
      </c>
      <c r="I213" s="15">
        <f>I214+I218+I222</f>
        <v>13564.400000000001</v>
      </c>
    </row>
    <row r="214" spans="1:9" s="3" customFormat="1" ht="78.75">
      <c r="A214" s="45" t="s">
        <v>283</v>
      </c>
      <c r="B214" s="23" t="s">
        <v>30</v>
      </c>
      <c r="C214" s="23" t="s">
        <v>6</v>
      </c>
      <c r="D214" s="23" t="s">
        <v>246</v>
      </c>
      <c r="E214" s="23"/>
      <c r="F214" s="14"/>
      <c r="G214" s="15">
        <f>G215+G216+G217</f>
        <v>10871.7</v>
      </c>
      <c r="H214" s="15">
        <f>H215+H216+H217</f>
        <v>8823.7</v>
      </c>
      <c r="I214" s="15">
        <f>I215+I216+I217</f>
        <v>9278.1</v>
      </c>
    </row>
    <row r="215" spans="1:9" s="3" customFormat="1" ht="15.75">
      <c r="A215" s="65" t="s">
        <v>188</v>
      </c>
      <c r="B215" s="23" t="s">
        <v>30</v>
      </c>
      <c r="C215" s="23" t="s">
        <v>6</v>
      </c>
      <c r="D215" s="23" t="s">
        <v>246</v>
      </c>
      <c r="E215" s="23" t="s">
        <v>84</v>
      </c>
      <c r="F215" s="14">
        <v>42</v>
      </c>
      <c r="G215" s="15">
        <f>6476.1+341.6+944.4+16.9-16.9+297.8+378.7+6-124</f>
        <v>8320.6</v>
      </c>
      <c r="H215" s="15">
        <v>6158.9</v>
      </c>
      <c r="I215" s="15">
        <v>6476.1</v>
      </c>
    </row>
    <row r="216" spans="1:9" s="3" customFormat="1" ht="47.25">
      <c r="A216" s="65" t="s">
        <v>81</v>
      </c>
      <c r="B216" s="23" t="s">
        <v>30</v>
      </c>
      <c r="C216" s="23" t="s">
        <v>6</v>
      </c>
      <c r="D216" s="23" t="s">
        <v>246</v>
      </c>
      <c r="E216" s="23" t="s">
        <v>65</v>
      </c>
      <c r="F216" s="14"/>
      <c r="G216" s="15">
        <f>1.2+0.2</f>
        <v>1.4</v>
      </c>
      <c r="H216" s="15"/>
      <c r="I216" s="15"/>
    </row>
    <row r="217" spans="1:9" s="3" customFormat="1" ht="61.5" customHeight="1">
      <c r="A217" s="39" t="s">
        <v>189</v>
      </c>
      <c r="B217" s="23" t="s">
        <v>30</v>
      </c>
      <c r="C217" s="23" t="s">
        <v>6</v>
      </c>
      <c r="D217" s="23" t="s">
        <v>246</v>
      </c>
      <c r="E217" s="23" t="s">
        <v>149</v>
      </c>
      <c r="F217" s="14"/>
      <c r="G217" s="15">
        <f>2802-457.9-0.2+5.05-5.05+205.8</f>
        <v>2549.7000000000003</v>
      </c>
      <c r="H217" s="15">
        <v>2664.8</v>
      </c>
      <c r="I217" s="15">
        <v>2802</v>
      </c>
    </row>
    <row r="218" spans="1:9" s="3" customFormat="1" ht="61.5" customHeight="1">
      <c r="A218" s="32" t="s">
        <v>284</v>
      </c>
      <c r="B218" s="23" t="s">
        <v>30</v>
      </c>
      <c r="C218" s="23" t="s">
        <v>6</v>
      </c>
      <c r="D218" s="23" t="s">
        <v>247</v>
      </c>
      <c r="E218" s="23"/>
      <c r="F218" s="14"/>
      <c r="G218" s="15">
        <f>G219+G220+G221</f>
        <v>3168.4000000000005</v>
      </c>
      <c r="H218" s="15">
        <f>H219+H220+H221</f>
        <v>3431.3999999999996</v>
      </c>
      <c r="I218" s="15">
        <f>I219+I220+I221</f>
        <v>3608.1000000000004</v>
      </c>
    </row>
    <row r="219" spans="1:9" s="3" customFormat="1" ht="15.75">
      <c r="A219" s="65" t="s">
        <v>188</v>
      </c>
      <c r="B219" s="23" t="s">
        <v>30</v>
      </c>
      <c r="C219" s="23" t="s">
        <v>6</v>
      </c>
      <c r="D219" s="23" t="s">
        <v>247</v>
      </c>
      <c r="E219" s="23" t="s">
        <v>84</v>
      </c>
      <c r="F219" s="14"/>
      <c r="G219" s="15">
        <f>2518.4+132.9+367.3+6.6-6.6-452.6-6-14.56-12.23-6.4-172.6</f>
        <v>2354.2100000000005</v>
      </c>
      <c r="H219" s="15">
        <v>2395.1</v>
      </c>
      <c r="I219" s="15">
        <v>2518.4</v>
      </c>
    </row>
    <row r="220" spans="1:9" s="3" customFormat="1" ht="47.25">
      <c r="A220" s="65" t="s">
        <v>81</v>
      </c>
      <c r="B220" s="23" t="s">
        <v>30</v>
      </c>
      <c r="C220" s="23" t="s">
        <v>6</v>
      </c>
      <c r="D220" s="23" t="s">
        <v>247</v>
      </c>
      <c r="E220" s="23" t="s">
        <v>65</v>
      </c>
      <c r="F220" s="14"/>
      <c r="G220" s="15">
        <f>1.2+0.2-0.3</f>
        <v>1.0999999999999999</v>
      </c>
      <c r="H220" s="15"/>
      <c r="I220" s="15"/>
    </row>
    <row r="221" spans="1:9" s="3" customFormat="1" ht="61.5" customHeight="1">
      <c r="A221" s="39" t="s">
        <v>189</v>
      </c>
      <c r="B221" s="23" t="s">
        <v>30</v>
      </c>
      <c r="C221" s="23" t="s">
        <v>6</v>
      </c>
      <c r="D221" s="23" t="s">
        <v>247</v>
      </c>
      <c r="E221" s="23" t="s">
        <v>149</v>
      </c>
      <c r="F221" s="14"/>
      <c r="G221" s="15">
        <f>1089.7-178-0.2+2.05-2.05-131.9+14.56+12.23+6.4+0.3</f>
        <v>813.0899999999999</v>
      </c>
      <c r="H221" s="15">
        <v>1036.3</v>
      </c>
      <c r="I221" s="15">
        <v>1089.7</v>
      </c>
    </row>
    <row r="222" spans="1:9" s="3" customFormat="1" ht="68.25" customHeight="1">
      <c r="A222" s="32" t="s">
        <v>285</v>
      </c>
      <c r="B222" s="23" t="s">
        <v>30</v>
      </c>
      <c r="C222" s="23" t="s">
        <v>6</v>
      </c>
      <c r="D222" s="23" t="s">
        <v>248</v>
      </c>
      <c r="E222" s="23"/>
      <c r="F222" s="14"/>
      <c r="G222" s="15">
        <f>G223</f>
        <v>30.6</v>
      </c>
      <c r="H222" s="15">
        <f>H223</f>
        <v>645</v>
      </c>
      <c r="I222" s="15">
        <f>I223</f>
        <v>678.2</v>
      </c>
    </row>
    <row r="223" spans="1:9" s="3" customFormat="1" ht="51" customHeight="1">
      <c r="A223" s="65" t="s">
        <v>74</v>
      </c>
      <c r="B223" s="23" t="s">
        <v>30</v>
      </c>
      <c r="C223" s="23" t="s">
        <v>6</v>
      </c>
      <c r="D223" s="23" t="s">
        <v>248</v>
      </c>
      <c r="E223" s="23" t="s">
        <v>73</v>
      </c>
      <c r="F223" s="14"/>
      <c r="G223" s="15">
        <f>30.6</f>
        <v>30.6</v>
      </c>
      <c r="H223" s="15">
        <v>645</v>
      </c>
      <c r="I223" s="15">
        <v>678.2</v>
      </c>
    </row>
    <row r="224" spans="1:9" s="3" customFormat="1" ht="78.75" hidden="1">
      <c r="A224" s="65" t="s">
        <v>219</v>
      </c>
      <c r="B224" s="23" t="s">
        <v>30</v>
      </c>
      <c r="C224" s="23" t="s">
        <v>6</v>
      </c>
      <c r="D224" s="23" t="s">
        <v>240</v>
      </c>
      <c r="E224" s="23"/>
      <c r="F224" s="14"/>
      <c r="G224" s="15">
        <f>G225</f>
        <v>0</v>
      </c>
      <c r="H224" s="15">
        <f>H225</f>
        <v>0</v>
      </c>
      <c r="I224" s="15">
        <f>I225</f>
        <v>0</v>
      </c>
    </row>
    <row r="225" spans="1:9" s="3" customFormat="1" ht="61.5" customHeight="1" hidden="1">
      <c r="A225" s="65" t="s">
        <v>74</v>
      </c>
      <c r="B225" s="23" t="s">
        <v>30</v>
      </c>
      <c r="C225" s="23" t="s">
        <v>6</v>
      </c>
      <c r="D225" s="23" t="s">
        <v>240</v>
      </c>
      <c r="E225" s="23" t="s">
        <v>73</v>
      </c>
      <c r="F225" s="14"/>
      <c r="G225" s="15"/>
      <c r="H225" s="15"/>
      <c r="I225" s="15"/>
    </row>
    <row r="226" spans="1:9" s="3" customFormat="1" ht="53.25" customHeight="1">
      <c r="A226" s="37" t="s">
        <v>320</v>
      </c>
      <c r="B226" s="19" t="s">
        <v>30</v>
      </c>
      <c r="C226" s="19" t="s">
        <v>6</v>
      </c>
      <c r="D226" s="19" t="s">
        <v>155</v>
      </c>
      <c r="E226" s="19"/>
      <c r="F226" s="14"/>
      <c r="G226" s="15">
        <f>G230+G227</f>
        <v>4310.144</v>
      </c>
      <c r="H226" s="15">
        <f>H230+H227</f>
        <v>3989.7</v>
      </c>
      <c r="I226" s="15">
        <f>I230+I227</f>
        <v>4187.5</v>
      </c>
    </row>
    <row r="227" spans="1:9" s="3" customFormat="1" ht="31.5">
      <c r="A227" s="40" t="s">
        <v>224</v>
      </c>
      <c r="B227" s="19" t="s">
        <v>30</v>
      </c>
      <c r="C227" s="19" t="s">
        <v>6</v>
      </c>
      <c r="D227" s="19" t="s">
        <v>156</v>
      </c>
      <c r="E227" s="19"/>
      <c r="F227" s="14"/>
      <c r="G227" s="15">
        <f>G228+G229</f>
        <v>649.144</v>
      </c>
      <c r="H227" s="15">
        <f>H228+H229</f>
        <v>0</v>
      </c>
      <c r="I227" s="15">
        <f>I228+I229</f>
        <v>0</v>
      </c>
    </row>
    <row r="228" spans="1:9" s="3" customFormat="1" ht="15.75">
      <c r="A228" s="65" t="s">
        <v>188</v>
      </c>
      <c r="B228" s="19" t="s">
        <v>30</v>
      </c>
      <c r="C228" s="19" t="s">
        <v>6</v>
      </c>
      <c r="D228" s="19" t="s">
        <v>156</v>
      </c>
      <c r="E228" s="19" t="s">
        <v>84</v>
      </c>
      <c r="F228" s="14"/>
      <c r="G228" s="15">
        <f>83.25+197+349-170.806</f>
        <v>458.44399999999996</v>
      </c>
      <c r="H228" s="15"/>
      <c r="I228" s="15"/>
    </row>
    <row r="229" spans="1:9" s="3" customFormat="1" ht="53.25" customHeight="1">
      <c r="A229" s="39" t="s">
        <v>189</v>
      </c>
      <c r="B229" s="19" t="s">
        <v>30</v>
      </c>
      <c r="C229" s="19" t="s">
        <v>6</v>
      </c>
      <c r="D229" s="19" t="s">
        <v>156</v>
      </c>
      <c r="E229" s="19" t="s">
        <v>149</v>
      </c>
      <c r="F229" s="14"/>
      <c r="G229" s="15">
        <f>25.35+59.8+105.55</f>
        <v>190.7</v>
      </c>
      <c r="H229" s="15"/>
      <c r="I229" s="15"/>
    </row>
    <row r="230" spans="1:9" s="3" customFormat="1" ht="78.75">
      <c r="A230" s="32" t="s">
        <v>286</v>
      </c>
      <c r="B230" s="19" t="s">
        <v>30</v>
      </c>
      <c r="C230" s="19" t="s">
        <v>6</v>
      </c>
      <c r="D230" s="19" t="s">
        <v>249</v>
      </c>
      <c r="E230" s="19"/>
      <c r="F230" s="14"/>
      <c r="G230" s="15">
        <f>G231+G234+G238</f>
        <v>3661.0000000000005</v>
      </c>
      <c r="H230" s="15">
        <f>H231+H234+H238</f>
        <v>3989.7</v>
      </c>
      <c r="I230" s="15">
        <f>I231+I234+I238</f>
        <v>4187.5</v>
      </c>
    </row>
    <row r="231" spans="1:9" s="3" customFormat="1" ht="110.25">
      <c r="A231" s="32" t="s">
        <v>287</v>
      </c>
      <c r="B231" s="19" t="s">
        <v>30</v>
      </c>
      <c r="C231" s="19" t="s">
        <v>6</v>
      </c>
      <c r="D231" s="19" t="s">
        <v>250</v>
      </c>
      <c r="E231" s="19"/>
      <c r="F231" s="14"/>
      <c r="G231" s="15">
        <f>G232+G233</f>
        <v>2806.0000000000005</v>
      </c>
      <c r="H231" s="15">
        <f>H232+H233</f>
        <v>2872.6</v>
      </c>
      <c r="I231" s="15">
        <f>I232+I233</f>
        <v>3015</v>
      </c>
    </row>
    <row r="232" spans="1:9" s="3" customFormat="1" ht="15.75">
      <c r="A232" s="65" t="s">
        <v>188</v>
      </c>
      <c r="B232" s="19" t="s">
        <v>30</v>
      </c>
      <c r="C232" s="19" t="s">
        <v>6</v>
      </c>
      <c r="D232" s="19" t="s">
        <v>250</v>
      </c>
      <c r="E232" s="19" t="s">
        <v>84</v>
      </c>
      <c r="F232" s="14"/>
      <c r="G232" s="15">
        <f>2104.5+103.7+181.1+91.3-49.1+171.3-456.95+6.82-2.05</f>
        <v>2150.6200000000003</v>
      </c>
      <c r="H232" s="15">
        <v>2005.1</v>
      </c>
      <c r="I232" s="15">
        <v>2104.5</v>
      </c>
    </row>
    <row r="233" spans="1:9" s="3" customFormat="1" ht="63">
      <c r="A233" s="88" t="s">
        <v>189</v>
      </c>
      <c r="B233" s="19" t="s">
        <v>30</v>
      </c>
      <c r="C233" s="19" t="s">
        <v>6</v>
      </c>
      <c r="D233" s="19" t="s">
        <v>250</v>
      </c>
      <c r="E233" s="19" t="s">
        <v>149</v>
      </c>
      <c r="F233" s="14"/>
      <c r="G233" s="15">
        <f>910.5-189+1.3+78.1-138.7-6.82</f>
        <v>655.38</v>
      </c>
      <c r="H233" s="15">
        <v>867.5</v>
      </c>
      <c r="I233" s="15">
        <v>910.5</v>
      </c>
    </row>
    <row r="234" spans="1:9" s="3" customFormat="1" ht="110.25">
      <c r="A234" s="38" t="s">
        <v>288</v>
      </c>
      <c r="B234" s="19" t="s">
        <v>30</v>
      </c>
      <c r="C234" s="19" t="s">
        <v>6</v>
      </c>
      <c r="D234" s="19" t="s">
        <v>251</v>
      </c>
      <c r="E234" s="23"/>
      <c r="F234" s="14"/>
      <c r="G234" s="15">
        <f>G235+G237+G236</f>
        <v>836</v>
      </c>
      <c r="H234" s="15">
        <f>H235+H237+H236</f>
        <v>1117.1</v>
      </c>
      <c r="I234" s="15">
        <f>I235+I237+I236</f>
        <v>1172.5</v>
      </c>
    </row>
    <row r="235" spans="1:9" s="3" customFormat="1" ht="15.75">
      <c r="A235" s="65" t="s">
        <v>188</v>
      </c>
      <c r="B235" s="19" t="s">
        <v>30</v>
      </c>
      <c r="C235" s="19" t="s">
        <v>6</v>
      </c>
      <c r="D235" s="19" t="s">
        <v>251</v>
      </c>
      <c r="E235" s="19" t="s">
        <v>84</v>
      </c>
      <c r="F235" s="14"/>
      <c r="G235" s="15">
        <f>818.4+48.4+62.4-153.9-135.4+0.7+1.4</f>
        <v>642</v>
      </c>
      <c r="H235" s="15">
        <v>779.7</v>
      </c>
      <c r="I235" s="15">
        <v>818.4</v>
      </c>
    </row>
    <row r="236" spans="1:9" s="3" customFormat="1" ht="47.25">
      <c r="A236" s="40" t="s">
        <v>81</v>
      </c>
      <c r="B236" s="19" t="s">
        <v>30</v>
      </c>
      <c r="C236" s="19" t="s">
        <v>6</v>
      </c>
      <c r="D236" s="19" t="s">
        <v>251</v>
      </c>
      <c r="E236" s="19" t="s">
        <v>65</v>
      </c>
      <c r="F236" s="14"/>
      <c r="G236" s="15">
        <f>0.05+0.05</f>
        <v>0.1</v>
      </c>
      <c r="H236" s="15"/>
      <c r="I236" s="15"/>
    </row>
    <row r="237" spans="1:9" s="3" customFormat="1" ht="63">
      <c r="A237" s="88" t="s">
        <v>189</v>
      </c>
      <c r="B237" s="19" t="s">
        <v>30</v>
      </c>
      <c r="C237" s="19" t="s">
        <v>6</v>
      </c>
      <c r="D237" s="19" t="s">
        <v>251</v>
      </c>
      <c r="E237" s="19" t="s">
        <v>149</v>
      </c>
      <c r="F237" s="14"/>
      <c r="G237" s="15">
        <f>354.1-73.5-0.05-46.4-40.85+0.6</f>
        <v>193.9</v>
      </c>
      <c r="H237" s="15">
        <v>337.4</v>
      </c>
      <c r="I237" s="15">
        <v>354.1</v>
      </c>
    </row>
    <row r="238" spans="1:9" s="3" customFormat="1" ht="99" customHeight="1">
      <c r="A238" s="38" t="s">
        <v>289</v>
      </c>
      <c r="B238" s="19" t="s">
        <v>30</v>
      </c>
      <c r="C238" s="19" t="s">
        <v>6</v>
      </c>
      <c r="D238" s="19" t="s">
        <v>259</v>
      </c>
      <c r="E238" s="19"/>
      <c r="F238" s="14"/>
      <c r="G238" s="15">
        <f>G239</f>
        <v>19</v>
      </c>
      <c r="H238" s="15">
        <f>H239</f>
        <v>0</v>
      </c>
      <c r="I238" s="15">
        <f>I239</f>
        <v>0</v>
      </c>
    </row>
    <row r="239" spans="1:9" s="3" customFormat="1" ht="47.25">
      <c r="A239" s="40" t="s">
        <v>74</v>
      </c>
      <c r="B239" s="19" t="s">
        <v>30</v>
      </c>
      <c r="C239" s="19" t="s">
        <v>6</v>
      </c>
      <c r="D239" s="19" t="s">
        <v>259</v>
      </c>
      <c r="E239" s="19" t="s">
        <v>73</v>
      </c>
      <c r="F239" s="14"/>
      <c r="G239" s="15">
        <v>19</v>
      </c>
      <c r="H239" s="15"/>
      <c r="I239" s="15"/>
    </row>
    <row r="240" spans="1:9" s="3" customFormat="1" ht="31.5" hidden="1">
      <c r="A240" s="39" t="s">
        <v>76</v>
      </c>
      <c r="B240" s="19" t="s">
        <v>30</v>
      </c>
      <c r="C240" s="19" t="s">
        <v>6</v>
      </c>
      <c r="D240" s="19" t="s">
        <v>119</v>
      </c>
      <c r="E240" s="19"/>
      <c r="F240" s="14" t="e">
        <f>#REF!</f>
        <v>#REF!</v>
      </c>
      <c r="G240" s="15">
        <f>G241</f>
        <v>0</v>
      </c>
      <c r="H240" s="15">
        <f>H241</f>
        <v>0</v>
      </c>
      <c r="I240" s="15">
        <f>I241</f>
        <v>0</v>
      </c>
    </row>
    <row r="241" spans="1:9" s="3" customFormat="1" ht="81" customHeight="1" hidden="1">
      <c r="A241" s="50" t="s">
        <v>290</v>
      </c>
      <c r="B241" s="19" t="s">
        <v>30</v>
      </c>
      <c r="C241" s="19" t="s">
        <v>6</v>
      </c>
      <c r="D241" s="19" t="s">
        <v>204</v>
      </c>
      <c r="E241" s="19"/>
      <c r="F241" s="14"/>
      <c r="G241" s="15">
        <f>G242+G243</f>
        <v>0</v>
      </c>
      <c r="H241" s="15">
        <f>H242+H243</f>
        <v>0</v>
      </c>
      <c r="I241" s="15">
        <f>I242+I243</f>
        <v>0</v>
      </c>
    </row>
    <row r="242" spans="1:9" s="3" customFormat="1" ht="15.75" hidden="1">
      <c r="A242" s="65" t="s">
        <v>188</v>
      </c>
      <c r="B242" s="19" t="s">
        <v>30</v>
      </c>
      <c r="C242" s="19" t="s">
        <v>6</v>
      </c>
      <c r="D242" s="19" t="s">
        <v>204</v>
      </c>
      <c r="E242" s="19" t="s">
        <v>84</v>
      </c>
      <c r="F242" s="14"/>
      <c r="G242" s="15"/>
      <c r="H242" s="15"/>
      <c r="I242" s="15"/>
    </row>
    <row r="243" spans="1:9" s="3" customFormat="1" ht="63" hidden="1">
      <c r="A243" s="39" t="s">
        <v>189</v>
      </c>
      <c r="B243" s="19" t="s">
        <v>30</v>
      </c>
      <c r="C243" s="19" t="s">
        <v>6</v>
      </c>
      <c r="D243" s="19" t="s">
        <v>204</v>
      </c>
      <c r="E243" s="19" t="s">
        <v>149</v>
      </c>
      <c r="F243" s="14"/>
      <c r="G243" s="15"/>
      <c r="H243" s="15"/>
      <c r="I243" s="15"/>
    </row>
    <row r="244" spans="1:9" s="53" customFormat="1" ht="15.75">
      <c r="A244" s="34" t="s">
        <v>32</v>
      </c>
      <c r="B244" s="9" t="s">
        <v>30</v>
      </c>
      <c r="C244" s="9" t="s">
        <v>7</v>
      </c>
      <c r="D244" s="9"/>
      <c r="E244" s="9"/>
      <c r="F244" s="11" t="e">
        <f>F250+F302+#REF!+#REF!</f>
        <v>#REF!</v>
      </c>
      <c r="G244" s="12">
        <f>G250+G277+G245</f>
        <v>118117.613</v>
      </c>
      <c r="H244" s="12">
        <f>H250+H277+H245</f>
        <v>101053.19999999998</v>
      </c>
      <c r="I244" s="12">
        <f>I250+I277+I245</f>
        <v>105309.9</v>
      </c>
    </row>
    <row r="245" spans="1:9" s="53" customFormat="1" ht="47.25">
      <c r="A245" s="81" t="s">
        <v>321</v>
      </c>
      <c r="B245" s="23" t="s">
        <v>30</v>
      </c>
      <c r="C245" s="23" t="s">
        <v>7</v>
      </c>
      <c r="D245" s="23" t="s">
        <v>182</v>
      </c>
      <c r="E245" s="23"/>
      <c r="F245" s="25"/>
      <c r="G245" s="26">
        <f aca="true" t="shared" si="13" ref="G245:I247">G246</f>
        <v>1592.6580000000001</v>
      </c>
      <c r="H245" s="26">
        <f t="shared" si="13"/>
        <v>0</v>
      </c>
      <c r="I245" s="26">
        <f t="shared" si="13"/>
        <v>0</v>
      </c>
    </row>
    <row r="246" spans="1:9" s="53" customFormat="1" ht="99.75" customHeight="1">
      <c r="A246" s="40" t="s">
        <v>268</v>
      </c>
      <c r="B246" s="19" t="s">
        <v>30</v>
      </c>
      <c r="C246" s="19" t="s">
        <v>7</v>
      </c>
      <c r="D246" s="23" t="s">
        <v>266</v>
      </c>
      <c r="E246" s="23"/>
      <c r="F246" s="25"/>
      <c r="G246" s="26">
        <f t="shared" si="13"/>
        <v>1592.6580000000001</v>
      </c>
      <c r="H246" s="26">
        <f t="shared" si="13"/>
        <v>0</v>
      </c>
      <c r="I246" s="26">
        <f t="shared" si="13"/>
        <v>0</v>
      </c>
    </row>
    <row r="247" spans="1:9" s="53" customFormat="1" ht="78.75">
      <c r="A247" s="40" t="s">
        <v>269</v>
      </c>
      <c r="B247" s="19" t="s">
        <v>30</v>
      </c>
      <c r="C247" s="19" t="s">
        <v>7</v>
      </c>
      <c r="D247" s="23" t="s">
        <v>267</v>
      </c>
      <c r="E247" s="23"/>
      <c r="F247" s="25"/>
      <c r="G247" s="26">
        <f>G248</f>
        <v>1592.6580000000001</v>
      </c>
      <c r="H247" s="26">
        <f t="shared" si="13"/>
        <v>0</v>
      </c>
      <c r="I247" s="26">
        <f t="shared" si="13"/>
        <v>0</v>
      </c>
    </row>
    <row r="248" spans="1:9" s="53" customFormat="1" ht="66.75" customHeight="1">
      <c r="A248" s="40" t="s">
        <v>291</v>
      </c>
      <c r="B248" s="19" t="s">
        <v>30</v>
      </c>
      <c r="C248" s="19" t="s">
        <v>7</v>
      </c>
      <c r="D248" s="23" t="s">
        <v>271</v>
      </c>
      <c r="E248" s="23"/>
      <c r="F248" s="25"/>
      <c r="G248" s="26">
        <f>G249</f>
        <v>1592.6580000000001</v>
      </c>
      <c r="H248" s="26">
        <f>H249</f>
        <v>0</v>
      </c>
      <c r="I248" s="26">
        <f>I249</f>
        <v>0</v>
      </c>
    </row>
    <row r="249" spans="1:9" s="53" customFormat="1" ht="47.25">
      <c r="A249" s="40" t="s">
        <v>74</v>
      </c>
      <c r="B249" s="19" t="s">
        <v>30</v>
      </c>
      <c r="C249" s="19" t="s">
        <v>7</v>
      </c>
      <c r="D249" s="23" t="s">
        <v>271</v>
      </c>
      <c r="E249" s="23" t="s">
        <v>73</v>
      </c>
      <c r="F249" s="25"/>
      <c r="G249" s="26">
        <f>80+1513.025-0.367</f>
        <v>1592.6580000000001</v>
      </c>
      <c r="H249" s="26"/>
      <c r="I249" s="26"/>
    </row>
    <row r="250" spans="1:9" s="3" customFormat="1" ht="47.25">
      <c r="A250" s="59" t="s">
        <v>320</v>
      </c>
      <c r="B250" s="19" t="s">
        <v>30</v>
      </c>
      <c r="C250" s="19" t="s">
        <v>7</v>
      </c>
      <c r="D250" s="19" t="s">
        <v>155</v>
      </c>
      <c r="E250" s="19"/>
      <c r="F250" s="14">
        <f>F258</f>
        <v>47835</v>
      </c>
      <c r="G250" s="15">
        <f>G251+G261+G273+G275</f>
        <v>112764.485</v>
      </c>
      <c r="H250" s="15">
        <f>H251+H261+H273+H275</f>
        <v>99673.09999999998</v>
      </c>
      <c r="I250" s="15">
        <f>I251+I261+I273+I275</f>
        <v>103929.79999999999</v>
      </c>
    </row>
    <row r="251" spans="1:9" s="3" customFormat="1" ht="31.5">
      <c r="A251" s="40" t="s">
        <v>224</v>
      </c>
      <c r="B251" s="19" t="s">
        <v>30</v>
      </c>
      <c r="C251" s="19" t="s">
        <v>7</v>
      </c>
      <c r="D251" s="19" t="s">
        <v>156</v>
      </c>
      <c r="E251" s="19"/>
      <c r="F251" s="14">
        <f>F253</f>
        <v>47835</v>
      </c>
      <c r="G251" s="15">
        <f>G253+G256+G258+G259+G257+G252+G254+G260+G255</f>
        <v>23831.907000000003</v>
      </c>
      <c r="H251" s="15">
        <f>H253+H256+H258+H259+H257+H252+H254+H260+H255</f>
        <v>24156.1</v>
      </c>
      <c r="I251" s="15">
        <f>I253+I256+I258+I259+I257+I252+I254+I260+I255</f>
        <v>24356.1</v>
      </c>
    </row>
    <row r="252" spans="1:9" s="3" customFormat="1" ht="15.75">
      <c r="A252" s="32" t="s">
        <v>188</v>
      </c>
      <c r="B252" s="19" t="s">
        <v>30</v>
      </c>
      <c r="C252" s="19" t="s">
        <v>7</v>
      </c>
      <c r="D252" s="19" t="s">
        <v>156</v>
      </c>
      <c r="E252" s="19" t="s">
        <v>84</v>
      </c>
      <c r="F252" s="14"/>
      <c r="G252" s="15">
        <f>874.5+19.997</f>
        <v>894.497</v>
      </c>
      <c r="H252" s="15"/>
      <c r="I252" s="15"/>
    </row>
    <row r="253" spans="1:9" s="3" customFormat="1" ht="47.25">
      <c r="A253" s="40" t="s">
        <v>81</v>
      </c>
      <c r="B253" s="19" t="s">
        <v>30</v>
      </c>
      <c r="C253" s="19" t="s">
        <v>7</v>
      </c>
      <c r="D253" s="19" t="s">
        <v>156</v>
      </c>
      <c r="E253" s="19" t="s">
        <v>65</v>
      </c>
      <c r="F253" s="14">
        <f>46925+710+200</f>
        <v>47835</v>
      </c>
      <c r="G253" s="15">
        <f>882.5-300+1.9-18.9-80-3.6+13+14.6+13.025-9.3-166.88-119.76+4-59.8+4.608+1.25</f>
        <v>176.64300000000003</v>
      </c>
      <c r="H253" s="15">
        <v>1482.5</v>
      </c>
      <c r="I253" s="15">
        <v>1482.5</v>
      </c>
    </row>
    <row r="254" spans="1:9" s="3" customFormat="1" ht="63">
      <c r="A254" s="65" t="s">
        <v>218</v>
      </c>
      <c r="B254" s="19" t="s">
        <v>30</v>
      </c>
      <c r="C254" s="19" t="s">
        <v>7</v>
      </c>
      <c r="D254" s="19" t="s">
        <v>156</v>
      </c>
      <c r="E254" s="19" t="s">
        <v>217</v>
      </c>
      <c r="F254" s="14"/>
      <c r="G254" s="15">
        <f>18.9+20</f>
        <v>38.9</v>
      </c>
      <c r="H254" s="15"/>
      <c r="I254" s="15"/>
    </row>
    <row r="255" spans="1:9" s="3" customFormat="1" ht="63">
      <c r="A255" s="39" t="s">
        <v>189</v>
      </c>
      <c r="B255" s="19" t="s">
        <v>30</v>
      </c>
      <c r="C255" s="19" t="s">
        <v>7</v>
      </c>
      <c r="D255" s="19" t="s">
        <v>156</v>
      </c>
      <c r="E255" s="19" t="s">
        <v>149</v>
      </c>
      <c r="F255" s="14"/>
      <c r="G255" s="15">
        <f>264.25+21.022</f>
        <v>285.272</v>
      </c>
      <c r="H255" s="15"/>
      <c r="I255" s="15"/>
    </row>
    <row r="256" spans="1:9" s="3" customFormat="1" ht="47.25">
      <c r="A256" s="40" t="s">
        <v>74</v>
      </c>
      <c r="B256" s="19" t="s">
        <v>30</v>
      </c>
      <c r="C256" s="19" t="s">
        <v>7</v>
      </c>
      <c r="D256" s="19" t="s">
        <v>156</v>
      </c>
      <c r="E256" s="19" t="s">
        <v>73</v>
      </c>
      <c r="F256" s="14">
        <f>F258</f>
        <v>47835</v>
      </c>
      <c r="G256" s="20">
        <f>21245.9-1000-1.9-2.85+8-195+80-30+8-20-1-13-0.49+6-14.6-80-2.405+200-13.025+8+8+9.3+7+8+8-108.6-89.92+0.367+8-2+119.76-7-9-0.9-1.8-5.8+35-0.9+4-1.8+59.8-143.16+68.82-8-4.608+12+809+8+10+6+8+42.4+170.907-1.25+69-2.3+14-0.3-2.779-40.1+10+27-75</f>
        <v>21198.767000000003</v>
      </c>
      <c r="H256" s="20">
        <v>21500</v>
      </c>
      <c r="I256" s="20">
        <v>21700</v>
      </c>
    </row>
    <row r="257" spans="1:9" s="3" customFormat="1" ht="47.25" hidden="1">
      <c r="A257" s="76" t="s">
        <v>231</v>
      </c>
      <c r="B257" s="19" t="s">
        <v>30</v>
      </c>
      <c r="C257" s="19" t="s">
        <v>7</v>
      </c>
      <c r="D257" s="19" t="s">
        <v>156</v>
      </c>
      <c r="E257" s="19" t="s">
        <v>86</v>
      </c>
      <c r="F257" s="14"/>
      <c r="G257" s="20"/>
      <c r="H257" s="20"/>
      <c r="I257" s="20"/>
    </row>
    <row r="258" spans="1:9" s="3" customFormat="1" ht="31.5">
      <c r="A258" s="40" t="s">
        <v>75</v>
      </c>
      <c r="B258" s="19" t="s">
        <v>30</v>
      </c>
      <c r="C258" s="19" t="s">
        <v>7</v>
      </c>
      <c r="D258" s="19" t="s">
        <v>156</v>
      </c>
      <c r="E258" s="19" t="s">
        <v>77</v>
      </c>
      <c r="F258" s="14">
        <f>46925+710+200</f>
        <v>47835</v>
      </c>
      <c r="G258" s="20">
        <f>2830.4-500-0.91-882.21-93.51-0.042-204.217</f>
        <v>1149.5110000000002</v>
      </c>
      <c r="H258" s="20">
        <v>1173.6</v>
      </c>
      <c r="I258" s="20">
        <v>1173.6</v>
      </c>
    </row>
    <row r="259" spans="1:9" s="3" customFormat="1" ht="31.5">
      <c r="A259" s="45" t="s">
        <v>82</v>
      </c>
      <c r="B259" s="19" t="s">
        <v>30</v>
      </c>
      <c r="C259" s="19" t="s">
        <v>7</v>
      </c>
      <c r="D259" s="19" t="s">
        <v>156</v>
      </c>
      <c r="E259" s="54" t="s">
        <v>85</v>
      </c>
      <c r="F259" s="14"/>
      <c r="G259" s="20">
        <f>2.85+0.1+5.6+7.8+0.1+0.05+0.42-3.83-0.105</f>
        <v>12.985000000000005</v>
      </c>
      <c r="H259" s="20"/>
      <c r="I259" s="20"/>
    </row>
    <row r="260" spans="1:9" s="3" customFormat="1" ht="15.75">
      <c r="A260" s="76" t="s">
        <v>214</v>
      </c>
      <c r="B260" s="19" t="s">
        <v>30</v>
      </c>
      <c r="C260" s="19" t="s">
        <v>7</v>
      </c>
      <c r="D260" s="19" t="s">
        <v>156</v>
      </c>
      <c r="E260" s="54" t="s">
        <v>212</v>
      </c>
      <c r="F260" s="14"/>
      <c r="G260" s="20">
        <f>862.4-300+0.91-0.81-0.1-5.6-7.8-0.1-0.05+0.07-480+3.83+2.75+0.32+0.32+0.237-1.37+0.08-0.004+0.249</f>
        <v>75.33200000000004</v>
      </c>
      <c r="H260" s="20"/>
      <c r="I260" s="20"/>
    </row>
    <row r="261" spans="1:9" s="3" customFormat="1" ht="47.25">
      <c r="A261" s="45" t="s">
        <v>292</v>
      </c>
      <c r="B261" s="23" t="s">
        <v>30</v>
      </c>
      <c r="C261" s="23" t="s">
        <v>7</v>
      </c>
      <c r="D261" s="23" t="s">
        <v>157</v>
      </c>
      <c r="E261" s="23"/>
      <c r="F261" s="14">
        <f>F278</f>
        <v>0</v>
      </c>
      <c r="G261" s="15">
        <f>G262+G266+G270</f>
        <v>87751.59999999999</v>
      </c>
      <c r="H261" s="15">
        <f>H262+H266+H270</f>
        <v>75516.99999999999</v>
      </c>
      <c r="I261" s="15">
        <f>I262+I266+I270</f>
        <v>79573.7</v>
      </c>
    </row>
    <row r="262" spans="1:9" s="3" customFormat="1" ht="78.75">
      <c r="A262" s="45" t="s">
        <v>293</v>
      </c>
      <c r="B262" s="23" t="s">
        <v>30</v>
      </c>
      <c r="C262" s="23" t="s">
        <v>7</v>
      </c>
      <c r="D262" s="23" t="s">
        <v>252</v>
      </c>
      <c r="E262" s="23"/>
      <c r="F262" s="14"/>
      <c r="G262" s="15">
        <f>G263+G264+G265</f>
        <v>64141.899999999994</v>
      </c>
      <c r="H262" s="15">
        <f>H263+H264+H265</f>
        <v>54077.7</v>
      </c>
      <c r="I262" s="15">
        <f>I263+I264+I265</f>
        <v>56982.7</v>
      </c>
    </row>
    <row r="263" spans="1:9" s="3" customFormat="1" ht="15.75">
      <c r="A263" s="32" t="s">
        <v>188</v>
      </c>
      <c r="B263" s="23" t="s">
        <v>30</v>
      </c>
      <c r="C263" s="23" t="s">
        <v>7</v>
      </c>
      <c r="D263" s="23" t="s">
        <v>252</v>
      </c>
      <c r="E263" s="23" t="s">
        <v>84</v>
      </c>
      <c r="F263" s="14"/>
      <c r="G263" s="26">
        <f>39568.6+2224+6331.8+473-473+139.4-394.78-1269.05-117.4</f>
        <v>46482.57</v>
      </c>
      <c r="H263" s="26">
        <v>37746.2</v>
      </c>
      <c r="I263" s="26">
        <v>39773.9</v>
      </c>
    </row>
    <row r="264" spans="1:9" s="3" customFormat="1" ht="47.25">
      <c r="A264" s="32" t="s">
        <v>81</v>
      </c>
      <c r="B264" s="23" t="s">
        <v>30</v>
      </c>
      <c r="C264" s="23" t="s">
        <v>7</v>
      </c>
      <c r="D264" s="23" t="s">
        <v>252</v>
      </c>
      <c r="E264" s="23" t="s">
        <v>65</v>
      </c>
      <c r="F264" s="14"/>
      <c r="G264" s="26">
        <f>0.2+1.9</f>
        <v>2.1</v>
      </c>
      <c r="H264" s="15"/>
      <c r="I264" s="15"/>
    </row>
    <row r="265" spans="1:9" s="3" customFormat="1" ht="63">
      <c r="A265" s="39" t="s">
        <v>189</v>
      </c>
      <c r="B265" s="23" t="s">
        <v>30</v>
      </c>
      <c r="C265" s="23" t="s">
        <v>7</v>
      </c>
      <c r="D265" s="23" t="s">
        <v>252</v>
      </c>
      <c r="E265" s="23" t="s">
        <v>149</v>
      </c>
      <c r="F265" s="14"/>
      <c r="G265" s="26">
        <f>17120-2586.5-0.2+142.7-1.9-142.7+394.78+1269.05+117.4+1344.6</f>
        <v>17657.23</v>
      </c>
      <c r="H265" s="15">
        <v>16331.5</v>
      </c>
      <c r="I265" s="15">
        <v>17208.8</v>
      </c>
    </row>
    <row r="266" spans="1:9" s="3" customFormat="1" ht="78.75">
      <c r="A266" s="38" t="s">
        <v>294</v>
      </c>
      <c r="B266" s="23" t="s">
        <v>30</v>
      </c>
      <c r="C266" s="23" t="s">
        <v>7</v>
      </c>
      <c r="D266" s="23" t="s">
        <v>253</v>
      </c>
      <c r="E266" s="23"/>
      <c r="F266" s="14"/>
      <c r="G266" s="26">
        <f>G267+G268+G269</f>
        <v>21576.9</v>
      </c>
      <c r="H266" s="26">
        <f>H267+H268+H269</f>
        <v>16153.099999999999</v>
      </c>
      <c r="I266" s="26">
        <f>I267+I268+I269</f>
        <v>17020.8</v>
      </c>
    </row>
    <row r="267" spans="1:9" s="3" customFormat="1" ht="15.75">
      <c r="A267" s="32" t="s">
        <v>188</v>
      </c>
      <c r="B267" s="23" t="s">
        <v>30</v>
      </c>
      <c r="C267" s="23" t="s">
        <v>7</v>
      </c>
      <c r="D267" s="23" t="s">
        <v>253</v>
      </c>
      <c r="E267" s="23" t="s">
        <v>84</v>
      </c>
      <c r="F267" s="14"/>
      <c r="G267" s="26">
        <f>11801.1+665.3+1908.45+141.5-141.5+1348.2-238.42-5.46-39.5+196.7+461.08</f>
        <v>16097.450000000003</v>
      </c>
      <c r="H267" s="15">
        <v>11274.9</v>
      </c>
      <c r="I267" s="15">
        <v>11880.5</v>
      </c>
    </row>
    <row r="268" spans="1:9" s="3" customFormat="1" ht="47.25">
      <c r="A268" s="32" t="s">
        <v>81</v>
      </c>
      <c r="B268" s="23" t="s">
        <v>30</v>
      </c>
      <c r="C268" s="23" t="s">
        <v>7</v>
      </c>
      <c r="D268" s="23" t="s">
        <v>253</v>
      </c>
      <c r="E268" s="23" t="s">
        <v>65</v>
      </c>
      <c r="F268" s="14"/>
      <c r="G268" s="26">
        <f>0.1+0.5+0.4</f>
        <v>1</v>
      </c>
      <c r="H268" s="15"/>
      <c r="I268" s="15"/>
    </row>
    <row r="269" spans="1:9" s="3" customFormat="1" ht="63">
      <c r="A269" s="39" t="s">
        <v>189</v>
      </c>
      <c r="B269" s="23" t="s">
        <v>30</v>
      </c>
      <c r="C269" s="23" t="s">
        <v>7</v>
      </c>
      <c r="D269" s="23" t="s">
        <v>253</v>
      </c>
      <c r="E269" s="23" t="s">
        <v>149</v>
      </c>
      <c r="F269" s="14"/>
      <c r="G269" s="26">
        <f>5105.9-762.05-2.7-0.1+42.5-0.5-42.5+407+238.42+5.46+39.5+909-461.48</f>
        <v>5478.449999999999</v>
      </c>
      <c r="H269" s="15">
        <v>4878.2</v>
      </c>
      <c r="I269" s="15">
        <v>5140.3</v>
      </c>
    </row>
    <row r="270" spans="1:9" s="3" customFormat="1" ht="63.75" customHeight="1">
      <c r="A270" s="38" t="s">
        <v>295</v>
      </c>
      <c r="B270" s="23" t="s">
        <v>30</v>
      </c>
      <c r="C270" s="23" t="s">
        <v>7</v>
      </c>
      <c r="D270" s="23" t="s">
        <v>254</v>
      </c>
      <c r="E270" s="23"/>
      <c r="F270" s="14"/>
      <c r="G270" s="26">
        <f>G271</f>
        <v>2032.8000000000002</v>
      </c>
      <c r="H270" s="26">
        <f>H271</f>
        <v>5286.2</v>
      </c>
      <c r="I270" s="26">
        <f>I271</f>
        <v>5570.2</v>
      </c>
    </row>
    <row r="271" spans="1:9" s="3" customFormat="1" ht="47.25">
      <c r="A271" s="40" t="s">
        <v>74</v>
      </c>
      <c r="B271" s="23" t="s">
        <v>30</v>
      </c>
      <c r="C271" s="23" t="s">
        <v>7</v>
      </c>
      <c r="D271" s="23" t="s">
        <v>254</v>
      </c>
      <c r="E271" s="23" t="s">
        <v>73</v>
      </c>
      <c r="F271" s="14"/>
      <c r="G271" s="26">
        <f>5539.5-4889+799.7+582.6</f>
        <v>2032.8000000000002</v>
      </c>
      <c r="H271" s="26">
        <v>5286.2</v>
      </c>
      <c r="I271" s="26">
        <v>5570.2</v>
      </c>
    </row>
    <row r="272" spans="1:9" s="3" customFormat="1" ht="31.5" hidden="1">
      <c r="A272" s="50" t="s">
        <v>82</v>
      </c>
      <c r="B272" s="23" t="s">
        <v>30</v>
      </c>
      <c r="C272" s="23" t="s">
        <v>7</v>
      </c>
      <c r="D272" s="23" t="s">
        <v>157</v>
      </c>
      <c r="E272" s="23" t="s">
        <v>85</v>
      </c>
      <c r="F272" s="14">
        <f>F278</f>
        <v>0</v>
      </c>
      <c r="G272" s="26"/>
      <c r="H272" s="26"/>
      <c r="I272" s="26"/>
    </row>
    <row r="273" spans="1:9" s="3" customFormat="1" ht="65.25" customHeight="1">
      <c r="A273" s="65" t="s">
        <v>296</v>
      </c>
      <c r="B273" s="23" t="s">
        <v>30</v>
      </c>
      <c r="C273" s="23" t="s">
        <v>7</v>
      </c>
      <c r="D273" s="23" t="s">
        <v>220</v>
      </c>
      <c r="E273" s="23"/>
      <c r="F273" s="14"/>
      <c r="G273" s="26">
        <f>G274</f>
        <v>1016</v>
      </c>
      <c r="H273" s="26">
        <f>H274</f>
        <v>0</v>
      </c>
      <c r="I273" s="26">
        <f>I274</f>
        <v>0</v>
      </c>
    </row>
    <row r="274" spans="1:9" s="3" customFormat="1" ht="47.25">
      <c r="A274" s="40" t="s">
        <v>74</v>
      </c>
      <c r="B274" s="23" t="s">
        <v>30</v>
      </c>
      <c r="C274" s="23" t="s">
        <v>7</v>
      </c>
      <c r="D274" s="23" t="s">
        <v>220</v>
      </c>
      <c r="E274" s="23" t="s">
        <v>73</v>
      </c>
      <c r="F274" s="14"/>
      <c r="G274" s="26">
        <v>1016</v>
      </c>
      <c r="H274" s="26"/>
      <c r="I274" s="26"/>
    </row>
    <row r="275" spans="1:9" s="3" customFormat="1" ht="141.75">
      <c r="A275" s="40" t="s">
        <v>341</v>
      </c>
      <c r="B275" s="23" t="s">
        <v>30</v>
      </c>
      <c r="C275" s="23" t="s">
        <v>7</v>
      </c>
      <c r="D275" s="23" t="s">
        <v>340</v>
      </c>
      <c r="E275" s="23"/>
      <c r="F275" s="14"/>
      <c r="G275" s="26">
        <f>G276</f>
        <v>164.978</v>
      </c>
      <c r="H275" s="26">
        <f>H276</f>
        <v>0</v>
      </c>
      <c r="I275" s="26">
        <f>I276</f>
        <v>0</v>
      </c>
    </row>
    <row r="276" spans="1:9" s="3" customFormat="1" ht="47.25">
      <c r="A276" s="40" t="s">
        <v>74</v>
      </c>
      <c r="B276" s="23" t="s">
        <v>30</v>
      </c>
      <c r="C276" s="23" t="s">
        <v>7</v>
      </c>
      <c r="D276" s="23" t="s">
        <v>340</v>
      </c>
      <c r="E276" s="23" t="s">
        <v>73</v>
      </c>
      <c r="F276" s="14"/>
      <c r="G276" s="26">
        <v>164.978</v>
      </c>
      <c r="H276" s="26"/>
      <c r="I276" s="26"/>
    </row>
    <row r="277" spans="1:9" s="3" customFormat="1" ht="31.5">
      <c r="A277" s="39" t="s">
        <v>76</v>
      </c>
      <c r="B277" s="19" t="s">
        <v>30</v>
      </c>
      <c r="C277" s="19" t="s">
        <v>7</v>
      </c>
      <c r="D277" s="19" t="s">
        <v>119</v>
      </c>
      <c r="E277" s="54"/>
      <c r="F277" s="14"/>
      <c r="G277" s="15">
        <f>G282+G280+G278</f>
        <v>3760.4700000000003</v>
      </c>
      <c r="H277" s="15">
        <f>H282+H280+H278</f>
        <v>1380.1</v>
      </c>
      <c r="I277" s="15">
        <f>I282+I280+I278</f>
        <v>1380.1</v>
      </c>
    </row>
    <row r="278" spans="1:9" s="3" customFormat="1" ht="63" customHeight="1">
      <c r="A278" s="45" t="s">
        <v>297</v>
      </c>
      <c r="B278" s="23" t="s">
        <v>30</v>
      </c>
      <c r="C278" s="23" t="s">
        <v>7</v>
      </c>
      <c r="D278" s="23" t="s">
        <v>160</v>
      </c>
      <c r="E278" s="23"/>
      <c r="F278" s="14"/>
      <c r="G278" s="15">
        <f>G279</f>
        <v>2240</v>
      </c>
      <c r="H278" s="15">
        <f>H279</f>
        <v>1380.1</v>
      </c>
      <c r="I278" s="15">
        <f>I279</f>
        <v>1380.1</v>
      </c>
    </row>
    <row r="279" spans="1:9" s="3" customFormat="1" ht="47.25">
      <c r="A279" s="32" t="s">
        <v>228</v>
      </c>
      <c r="B279" s="23" t="s">
        <v>30</v>
      </c>
      <c r="C279" s="23" t="s">
        <v>7</v>
      </c>
      <c r="D279" s="23" t="s">
        <v>160</v>
      </c>
      <c r="E279" s="23" t="s">
        <v>229</v>
      </c>
      <c r="F279" s="14"/>
      <c r="G279" s="15">
        <f>1380.1+460+111.1+288.8</f>
        <v>2240</v>
      </c>
      <c r="H279" s="15">
        <v>1380.1</v>
      </c>
      <c r="I279" s="15">
        <v>1380.1</v>
      </c>
    </row>
    <row r="280" spans="1:9" s="3" customFormat="1" ht="99" customHeight="1">
      <c r="A280" s="67" t="s">
        <v>193</v>
      </c>
      <c r="B280" s="19" t="s">
        <v>30</v>
      </c>
      <c r="C280" s="19" t="s">
        <v>7</v>
      </c>
      <c r="D280" s="19" t="s">
        <v>161</v>
      </c>
      <c r="E280" s="19"/>
      <c r="F280" s="14"/>
      <c r="G280" s="15">
        <f>G281</f>
        <v>1511.8</v>
      </c>
      <c r="H280" s="15">
        <f>H281</f>
        <v>0</v>
      </c>
      <c r="I280" s="15">
        <f>I281</f>
        <v>0</v>
      </c>
    </row>
    <row r="281" spans="1:9" s="3" customFormat="1" ht="15.75">
      <c r="A281" s="67" t="s">
        <v>60</v>
      </c>
      <c r="B281" s="19" t="s">
        <v>30</v>
      </c>
      <c r="C281" s="19" t="s">
        <v>7</v>
      </c>
      <c r="D281" s="19" t="s">
        <v>161</v>
      </c>
      <c r="E281" s="19" t="s">
        <v>92</v>
      </c>
      <c r="F281" s="14"/>
      <c r="G281" s="15">
        <v>1511.8</v>
      </c>
      <c r="H281" s="15"/>
      <c r="I281" s="15"/>
    </row>
    <row r="282" spans="1:9" s="3" customFormat="1" ht="104.25" customHeight="1">
      <c r="A282" s="50" t="s">
        <v>205</v>
      </c>
      <c r="B282" s="19" t="s">
        <v>30</v>
      </c>
      <c r="C282" s="19" t="s">
        <v>7</v>
      </c>
      <c r="D282" s="19" t="s">
        <v>204</v>
      </c>
      <c r="E282" s="19"/>
      <c r="F282" s="14"/>
      <c r="G282" s="15">
        <f>G283+G284</f>
        <v>8.67</v>
      </c>
      <c r="H282" s="15">
        <f>H283+H284</f>
        <v>0</v>
      </c>
      <c r="I282" s="15">
        <f>I283+I284</f>
        <v>0</v>
      </c>
    </row>
    <row r="283" spans="1:9" s="3" customFormat="1" ht="15.75">
      <c r="A283" s="50" t="s">
        <v>188</v>
      </c>
      <c r="B283" s="19" t="s">
        <v>30</v>
      </c>
      <c r="C283" s="19" t="s">
        <v>7</v>
      </c>
      <c r="D283" s="19" t="s">
        <v>204</v>
      </c>
      <c r="E283" s="19" t="s">
        <v>84</v>
      </c>
      <c r="F283" s="14"/>
      <c r="G283" s="15">
        <f>5.069+1.55</f>
        <v>6.619</v>
      </c>
      <c r="H283" s="15"/>
      <c r="I283" s="15"/>
    </row>
    <row r="284" spans="1:9" s="3" customFormat="1" ht="63">
      <c r="A284" s="39" t="s">
        <v>189</v>
      </c>
      <c r="B284" s="19" t="s">
        <v>30</v>
      </c>
      <c r="C284" s="19" t="s">
        <v>7</v>
      </c>
      <c r="D284" s="19" t="s">
        <v>204</v>
      </c>
      <c r="E284" s="19" t="s">
        <v>149</v>
      </c>
      <c r="F284" s="14"/>
      <c r="G284" s="15">
        <f>1.531+0.52</f>
        <v>2.051</v>
      </c>
      <c r="H284" s="15"/>
      <c r="I284" s="15"/>
    </row>
    <row r="285" spans="1:9" s="56" customFormat="1" ht="15.75">
      <c r="A285" s="83" t="s">
        <v>222</v>
      </c>
      <c r="B285" s="30" t="s">
        <v>30</v>
      </c>
      <c r="C285" s="30" t="s">
        <v>9</v>
      </c>
      <c r="D285" s="30"/>
      <c r="E285" s="30"/>
      <c r="F285" s="28"/>
      <c r="G285" s="29">
        <f>G286+G300+G290+G295+G311</f>
        <v>10926.203000000001</v>
      </c>
      <c r="H285" s="29">
        <f>H286+H300+H290+H295+H311</f>
        <v>11577.5</v>
      </c>
      <c r="I285" s="29">
        <f>I286+I300+I290+I295+I311</f>
        <v>11807</v>
      </c>
    </row>
    <row r="286" spans="1:9" s="53" customFormat="1" ht="126">
      <c r="A286" s="77" t="s">
        <v>319</v>
      </c>
      <c r="B286" s="19" t="s">
        <v>30</v>
      </c>
      <c r="C286" s="19" t="s">
        <v>9</v>
      </c>
      <c r="D286" s="19" t="s">
        <v>153</v>
      </c>
      <c r="E286" s="19"/>
      <c r="F286" s="11"/>
      <c r="G286" s="26">
        <f>G287</f>
        <v>3865.164</v>
      </c>
      <c r="H286" s="26">
        <f>H287</f>
        <v>4250</v>
      </c>
      <c r="I286" s="26">
        <f>I287</f>
        <v>4300</v>
      </c>
    </row>
    <row r="287" spans="1:9" s="53" customFormat="1" ht="31.5">
      <c r="A287" s="50" t="s">
        <v>106</v>
      </c>
      <c r="B287" s="19" t="s">
        <v>30</v>
      </c>
      <c r="C287" s="19" t="s">
        <v>9</v>
      </c>
      <c r="D287" s="19" t="s">
        <v>154</v>
      </c>
      <c r="E287" s="19"/>
      <c r="F287" s="11"/>
      <c r="G287" s="26">
        <f>G288+G289</f>
        <v>3865.164</v>
      </c>
      <c r="H287" s="26">
        <f>H288+H289</f>
        <v>4250</v>
      </c>
      <c r="I287" s="26">
        <f>I288+I289</f>
        <v>4300</v>
      </c>
    </row>
    <row r="288" spans="1:9" s="53" customFormat="1" ht="84" customHeight="1">
      <c r="A288" s="67" t="s">
        <v>83</v>
      </c>
      <c r="B288" s="19" t="s">
        <v>30</v>
      </c>
      <c r="C288" s="19" t="s">
        <v>9</v>
      </c>
      <c r="D288" s="19" t="s">
        <v>154</v>
      </c>
      <c r="E288" s="19" t="s">
        <v>62</v>
      </c>
      <c r="F288" s="11"/>
      <c r="G288" s="26">
        <f>4000-300+40+52+73.164</f>
        <v>3865.164</v>
      </c>
      <c r="H288" s="26">
        <v>4250</v>
      </c>
      <c r="I288" s="26">
        <v>4300</v>
      </c>
    </row>
    <row r="289" spans="1:9" s="53" customFormat="1" ht="31.5" hidden="1">
      <c r="A289" s="89" t="s">
        <v>64</v>
      </c>
      <c r="B289" s="19" t="s">
        <v>30</v>
      </c>
      <c r="C289" s="19" t="s">
        <v>9</v>
      </c>
      <c r="D289" s="19" t="s">
        <v>154</v>
      </c>
      <c r="E289" s="19" t="s">
        <v>63</v>
      </c>
      <c r="F289" s="11"/>
      <c r="G289" s="26"/>
      <c r="H289" s="26"/>
      <c r="I289" s="26"/>
    </row>
    <row r="290" spans="1:9" s="53" customFormat="1" ht="47.25">
      <c r="A290" s="59" t="s">
        <v>318</v>
      </c>
      <c r="B290" s="19" t="s">
        <v>30</v>
      </c>
      <c r="C290" s="19" t="s">
        <v>9</v>
      </c>
      <c r="D290" s="19" t="s">
        <v>150</v>
      </c>
      <c r="E290" s="19"/>
      <c r="F290" s="11"/>
      <c r="G290" s="26">
        <f>G291</f>
        <v>98.7</v>
      </c>
      <c r="H290" s="26">
        <f>H291</f>
        <v>98.7</v>
      </c>
      <c r="I290" s="26">
        <f>I291</f>
        <v>98.7</v>
      </c>
    </row>
    <row r="291" spans="1:9" s="53" customFormat="1" ht="47.25">
      <c r="A291" s="65" t="s">
        <v>298</v>
      </c>
      <c r="B291" s="23" t="s">
        <v>30</v>
      </c>
      <c r="C291" s="23" t="s">
        <v>9</v>
      </c>
      <c r="D291" s="84" t="s">
        <v>226</v>
      </c>
      <c r="E291" s="23"/>
      <c r="F291" s="11"/>
      <c r="G291" s="26">
        <f>G294+G292+G293</f>
        <v>98.7</v>
      </c>
      <c r="H291" s="26">
        <f>H294+H292+H293</f>
        <v>98.7</v>
      </c>
      <c r="I291" s="26">
        <f>I294+I292+I293</f>
        <v>98.7</v>
      </c>
    </row>
    <row r="292" spans="1:9" s="53" customFormat="1" ht="15.75" hidden="1">
      <c r="A292" s="32" t="s">
        <v>188</v>
      </c>
      <c r="B292" s="23" t="s">
        <v>30</v>
      </c>
      <c r="C292" s="23" t="s">
        <v>9</v>
      </c>
      <c r="D292" s="84" t="s">
        <v>226</v>
      </c>
      <c r="E292" s="23" t="s">
        <v>84</v>
      </c>
      <c r="F292" s="11"/>
      <c r="G292" s="26"/>
      <c r="H292" s="26"/>
      <c r="I292" s="26"/>
    </row>
    <row r="293" spans="1:9" s="53" customFormat="1" ht="63" hidden="1">
      <c r="A293" s="39" t="s">
        <v>189</v>
      </c>
      <c r="B293" s="23" t="s">
        <v>30</v>
      </c>
      <c r="C293" s="23" t="s">
        <v>9</v>
      </c>
      <c r="D293" s="84" t="s">
        <v>226</v>
      </c>
      <c r="E293" s="23" t="s">
        <v>149</v>
      </c>
      <c r="F293" s="11"/>
      <c r="G293" s="26"/>
      <c r="H293" s="26"/>
      <c r="I293" s="26"/>
    </row>
    <row r="294" spans="1:9" s="53" customFormat="1" ht="47.25">
      <c r="A294" s="65" t="s">
        <v>74</v>
      </c>
      <c r="B294" s="23" t="s">
        <v>30</v>
      </c>
      <c r="C294" s="23" t="s">
        <v>9</v>
      </c>
      <c r="D294" s="84" t="s">
        <v>226</v>
      </c>
      <c r="E294" s="23" t="s">
        <v>73</v>
      </c>
      <c r="F294" s="11"/>
      <c r="G294" s="26">
        <v>98.7</v>
      </c>
      <c r="H294" s="26">
        <v>98.7</v>
      </c>
      <c r="I294" s="26">
        <v>98.7</v>
      </c>
    </row>
    <row r="295" spans="1:9" s="53" customFormat="1" ht="47.25">
      <c r="A295" s="59" t="s">
        <v>317</v>
      </c>
      <c r="B295" s="19" t="s">
        <v>30</v>
      </c>
      <c r="C295" s="19" t="s">
        <v>9</v>
      </c>
      <c r="D295" s="19" t="s">
        <v>155</v>
      </c>
      <c r="E295" s="23"/>
      <c r="F295" s="11"/>
      <c r="G295" s="26">
        <f>G296</f>
        <v>154.2</v>
      </c>
      <c r="H295" s="26">
        <f>H296</f>
        <v>169.8</v>
      </c>
      <c r="I295" s="26">
        <f>I296</f>
        <v>169.8</v>
      </c>
    </row>
    <row r="296" spans="1:9" s="53" customFormat="1" ht="47.25">
      <c r="A296" s="65" t="s">
        <v>298</v>
      </c>
      <c r="B296" s="23" t="s">
        <v>30</v>
      </c>
      <c r="C296" s="23" t="s">
        <v>9</v>
      </c>
      <c r="D296" s="84" t="s">
        <v>230</v>
      </c>
      <c r="E296" s="23"/>
      <c r="F296" s="11"/>
      <c r="G296" s="26">
        <f>G299+G297+G298</f>
        <v>154.2</v>
      </c>
      <c r="H296" s="26">
        <f>H299+H297+H298</f>
        <v>169.8</v>
      </c>
      <c r="I296" s="26">
        <f>I299+I297+I298</f>
        <v>169.8</v>
      </c>
    </row>
    <row r="297" spans="1:9" s="53" customFormat="1" ht="15.75" hidden="1">
      <c r="A297" s="32" t="s">
        <v>188</v>
      </c>
      <c r="B297" s="23" t="s">
        <v>30</v>
      </c>
      <c r="C297" s="23" t="s">
        <v>9</v>
      </c>
      <c r="D297" s="84" t="s">
        <v>230</v>
      </c>
      <c r="E297" s="23" t="s">
        <v>84</v>
      </c>
      <c r="F297" s="11"/>
      <c r="G297" s="26"/>
      <c r="H297" s="26"/>
      <c r="I297" s="26"/>
    </row>
    <row r="298" spans="1:9" s="53" customFormat="1" ht="63" hidden="1">
      <c r="A298" s="39" t="s">
        <v>189</v>
      </c>
      <c r="B298" s="23" t="s">
        <v>30</v>
      </c>
      <c r="C298" s="23" t="s">
        <v>9</v>
      </c>
      <c r="D298" s="84" t="s">
        <v>230</v>
      </c>
      <c r="E298" s="23" t="s">
        <v>149</v>
      </c>
      <c r="F298" s="11"/>
      <c r="G298" s="26"/>
      <c r="H298" s="26"/>
      <c r="I298" s="26"/>
    </row>
    <row r="299" spans="1:9" s="53" customFormat="1" ht="47.25">
      <c r="A299" s="65" t="s">
        <v>74</v>
      </c>
      <c r="B299" s="23" t="s">
        <v>30</v>
      </c>
      <c r="C299" s="23" t="s">
        <v>9</v>
      </c>
      <c r="D299" s="84" t="s">
        <v>230</v>
      </c>
      <c r="E299" s="23" t="s">
        <v>73</v>
      </c>
      <c r="F299" s="11"/>
      <c r="G299" s="26">
        <v>154.2</v>
      </c>
      <c r="H299" s="26">
        <v>169.8</v>
      </c>
      <c r="I299" s="26">
        <v>169.8</v>
      </c>
    </row>
    <row r="300" spans="1:9" s="3" customFormat="1" ht="63">
      <c r="A300" s="75" t="s">
        <v>316</v>
      </c>
      <c r="B300" s="19" t="s">
        <v>30</v>
      </c>
      <c r="C300" s="19" t="s">
        <v>9</v>
      </c>
      <c r="D300" s="19" t="s">
        <v>158</v>
      </c>
      <c r="E300" s="19"/>
      <c r="F300" s="14"/>
      <c r="G300" s="15">
        <f>G301</f>
        <v>6773.509</v>
      </c>
      <c r="H300" s="15">
        <f>H301</f>
        <v>7059</v>
      </c>
      <c r="I300" s="15">
        <f>I301</f>
        <v>7238.5</v>
      </c>
    </row>
    <row r="301" spans="1:9" s="3" customFormat="1" ht="31.5">
      <c r="A301" s="40" t="s">
        <v>224</v>
      </c>
      <c r="B301" s="19" t="s">
        <v>30</v>
      </c>
      <c r="C301" s="19" t="s">
        <v>9</v>
      </c>
      <c r="D301" s="19" t="s">
        <v>159</v>
      </c>
      <c r="E301" s="19"/>
      <c r="F301" s="14"/>
      <c r="G301" s="15">
        <f>G302+G303+G306+G308+G309+G305+G307+G304+G310</f>
        <v>6773.509</v>
      </c>
      <c r="H301" s="15">
        <f>H302+H303+H306+H308+H309+H305+H307+H304+H310</f>
        <v>7059</v>
      </c>
      <c r="I301" s="15">
        <f>I302+I303+I306+I308+I309+I305+I307+I304+I310</f>
        <v>7238.5</v>
      </c>
    </row>
    <row r="302" spans="1:9" s="3" customFormat="1" ht="15.75">
      <c r="A302" s="65" t="s">
        <v>188</v>
      </c>
      <c r="B302" s="19" t="s">
        <v>30</v>
      </c>
      <c r="C302" s="19" t="s">
        <v>9</v>
      </c>
      <c r="D302" s="19" t="s">
        <v>159</v>
      </c>
      <c r="E302" s="19" t="s">
        <v>84</v>
      </c>
      <c r="F302" s="14" t="e">
        <f>#REF!</f>
        <v>#REF!</v>
      </c>
      <c r="G302" s="20">
        <f>4321.2-159.8-27.84</f>
        <v>4133.5599999999995</v>
      </c>
      <c r="H302" s="20">
        <v>4321.2</v>
      </c>
      <c r="I302" s="20">
        <v>4321.2</v>
      </c>
    </row>
    <row r="303" spans="1:9" s="3" customFormat="1" ht="47.25">
      <c r="A303" s="65" t="s">
        <v>81</v>
      </c>
      <c r="B303" s="19" t="s">
        <v>30</v>
      </c>
      <c r="C303" s="19" t="s">
        <v>9</v>
      </c>
      <c r="D303" s="19" t="s">
        <v>159</v>
      </c>
      <c r="E303" s="19" t="s">
        <v>65</v>
      </c>
      <c r="F303" s="14" t="e">
        <f>#REF!</f>
        <v>#REF!</v>
      </c>
      <c r="G303" s="20">
        <f>89-7.44-35.22+5-3.3+10+0.17-7.8-4</f>
        <v>46.41000000000001</v>
      </c>
      <c r="H303" s="20">
        <v>84</v>
      </c>
      <c r="I303" s="20">
        <v>84</v>
      </c>
    </row>
    <row r="304" spans="1:9" s="3" customFormat="1" ht="63">
      <c r="A304" s="65" t="s">
        <v>218</v>
      </c>
      <c r="B304" s="19" t="s">
        <v>30</v>
      </c>
      <c r="C304" s="19" t="s">
        <v>9</v>
      </c>
      <c r="D304" s="19" t="s">
        <v>159</v>
      </c>
      <c r="E304" s="19" t="s">
        <v>217</v>
      </c>
      <c r="F304" s="14"/>
      <c r="G304" s="20">
        <f>7.44+35.22+3.3+1+3-0.4</f>
        <v>49.559999999999995</v>
      </c>
      <c r="H304" s="20"/>
      <c r="I304" s="20"/>
    </row>
    <row r="305" spans="1:9" s="3" customFormat="1" ht="63">
      <c r="A305" s="39" t="s">
        <v>189</v>
      </c>
      <c r="B305" s="19" t="s">
        <v>30</v>
      </c>
      <c r="C305" s="19" t="s">
        <v>9</v>
      </c>
      <c r="D305" s="19" t="s">
        <v>159</v>
      </c>
      <c r="E305" s="19" t="s">
        <v>149</v>
      </c>
      <c r="F305" s="14"/>
      <c r="G305" s="20">
        <f>1305-50-21.022</f>
        <v>1233.978</v>
      </c>
      <c r="H305" s="20">
        <v>1305</v>
      </c>
      <c r="I305" s="20">
        <v>1305</v>
      </c>
    </row>
    <row r="306" spans="1:9" s="3" customFormat="1" ht="47.25">
      <c r="A306" s="65" t="s">
        <v>74</v>
      </c>
      <c r="B306" s="19" t="s">
        <v>30</v>
      </c>
      <c r="C306" s="19" t="s">
        <v>9</v>
      </c>
      <c r="D306" s="19" t="s">
        <v>159</v>
      </c>
      <c r="E306" s="54" t="s">
        <v>73</v>
      </c>
      <c r="F306" s="14"/>
      <c r="G306" s="20">
        <f>1000+11.3-5-1-3-1-1+50-6.87-42.4-0.17-44-10-23.9+7.8-5.6+25+4</f>
        <v>954.1600000000001</v>
      </c>
      <c r="H306" s="20">
        <v>1120.5</v>
      </c>
      <c r="I306" s="20">
        <v>1300</v>
      </c>
    </row>
    <row r="307" spans="1:9" s="3" customFormat="1" ht="47.25" hidden="1">
      <c r="A307" s="76" t="s">
        <v>231</v>
      </c>
      <c r="B307" s="19" t="s">
        <v>30</v>
      </c>
      <c r="C307" s="19" t="s">
        <v>9</v>
      </c>
      <c r="D307" s="19" t="s">
        <v>159</v>
      </c>
      <c r="E307" s="54" t="s">
        <v>86</v>
      </c>
      <c r="F307" s="14"/>
      <c r="G307" s="20"/>
      <c r="H307" s="20"/>
      <c r="I307" s="20"/>
    </row>
    <row r="308" spans="1:9" s="3" customFormat="1" ht="31.5">
      <c r="A308" s="76" t="s">
        <v>75</v>
      </c>
      <c r="B308" s="19" t="s">
        <v>30</v>
      </c>
      <c r="C308" s="19" t="s">
        <v>9</v>
      </c>
      <c r="D308" s="19" t="s">
        <v>159</v>
      </c>
      <c r="E308" s="54" t="s">
        <v>77</v>
      </c>
      <c r="F308" s="14"/>
      <c r="G308" s="15">
        <f>1211.8-711.09-102.69-1.344-54.529</f>
        <v>342.14699999999993</v>
      </c>
      <c r="H308" s="15">
        <v>228.3</v>
      </c>
      <c r="I308" s="15">
        <v>228.3</v>
      </c>
    </row>
    <row r="309" spans="1:9" s="3" customFormat="1" ht="31.5" hidden="1">
      <c r="A309" s="76" t="s">
        <v>82</v>
      </c>
      <c r="B309" s="19" t="s">
        <v>30</v>
      </c>
      <c r="C309" s="19" t="s">
        <v>9</v>
      </c>
      <c r="D309" s="19" t="s">
        <v>159</v>
      </c>
      <c r="E309" s="19" t="s">
        <v>85</v>
      </c>
      <c r="F309" s="14"/>
      <c r="G309" s="15"/>
      <c r="H309" s="15"/>
      <c r="I309" s="15"/>
    </row>
    <row r="310" spans="1:9" s="3" customFormat="1" ht="15.75">
      <c r="A310" s="76" t="s">
        <v>214</v>
      </c>
      <c r="B310" s="19" t="s">
        <v>30</v>
      </c>
      <c r="C310" s="19" t="s">
        <v>9</v>
      </c>
      <c r="D310" s="19" t="s">
        <v>159</v>
      </c>
      <c r="E310" s="19" t="s">
        <v>212</v>
      </c>
      <c r="F310" s="14"/>
      <c r="G310" s="15">
        <f>423.3-100-300-0.32-2.46-1.783-3.75-0.178-1.115</f>
        <v>13.694000000000008</v>
      </c>
      <c r="H310" s="15"/>
      <c r="I310" s="15"/>
    </row>
    <row r="311" spans="1:9" s="3" customFormat="1" ht="31.5">
      <c r="A311" s="65" t="s">
        <v>76</v>
      </c>
      <c r="B311" s="19" t="s">
        <v>30</v>
      </c>
      <c r="C311" s="19" t="s">
        <v>9</v>
      </c>
      <c r="D311" s="19" t="s">
        <v>119</v>
      </c>
      <c r="E311" s="19"/>
      <c r="F311" s="14"/>
      <c r="G311" s="15">
        <f aca="true" t="shared" si="14" ref="G311:I312">G312</f>
        <v>34.629999999999995</v>
      </c>
      <c r="H311" s="15">
        <f t="shared" si="14"/>
        <v>0</v>
      </c>
      <c r="I311" s="15">
        <f t="shared" si="14"/>
        <v>0</v>
      </c>
    </row>
    <row r="312" spans="1:9" s="3" customFormat="1" ht="78.75">
      <c r="A312" s="76" t="s">
        <v>290</v>
      </c>
      <c r="B312" s="19" t="s">
        <v>30</v>
      </c>
      <c r="C312" s="19" t="s">
        <v>9</v>
      </c>
      <c r="D312" s="19" t="s">
        <v>204</v>
      </c>
      <c r="E312" s="19"/>
      <c r="F312" s="14"/>
      <c r="G312" s="15">
        <f t="shared" si="14"/>
        <v>34.629999999999995</v>
      </c>
      <c r="H312" s="15">
        <f t="shared" si="14"/>
        <v>0</v>
      </c>
      <c r="I312" s="15">
        <f t="shared" si="14"/>
        <v>0</v>
      </c>
    </row>
    <row r="313" spans="1:9" s="3" customFormat="1" ht="31.5">
      <c r="A313" s="67" t="s">
        <v>64</v>
      </c>
      <c r="B313" s="19" t="s">
        <v>30</v>
      </c>
      <c r="C313" s="19" t="s">
        <v>9</v>
      </c>
      <c r="D313" s="19" t="s">
        <v>204</v>
      </c>
      <c r="E313" s="19" t="s">
        <v>63</v>
      </c>
      <c r="F313" s="14"/>
      <c r="G313" s="15">
        <f>14.2+29.1-6.6-2.07</f>
        <v>34.629999999999995</v>
      </c>
      <c r="H313" s="15"/>
      <c r="I313" s="15"/>
    </row>
    <row r="314" spans="1:9" s="56" customFormat="1" ht="47.25">
      <c r="A314" s="87" t="s">
        <v>241</v>
      </c>
      <c r="B314" s="30" t="s">
        <v>30</v>
      </c>
      <c r="C314" s="30" t="s">
        <v>20</v>
      </c>
      <c r="D314" s="30"/>
      <c r="E314" s="30"/>
      <c r="F314" s="28"/>
      <c r="G314" s="29">
        <f>G324+G318+G315+G327+G321</f>
        <v>301.70000000000005</v>
      </c>
      <c r="H314" s="29">
        <f>H324+H318+H315+H327+H321</f>
        <v>0</v>
      </c>
      <c r="I314" s="29">
        <f>I324+I318+I315+I327+I321</f>
        <v>0</v>
      </c>
    </row>
    <row r="315" spans="1:9" s="56" customFormat="1" ht="31.5">
      <c r="A315" s="45" t="s">
        <v>66</v>
      </c>
      <c r="B315" s="10" t="s">
        <v>30</v>
      </c>
      <c r="C315" s="10" t="s">
        <v>20</v>
      </c>
      <c r="D315" s="10" t="s">
        <v>112</v>
      </c>
      <c r="E315" s="23"/>
      <c r="F315" s="25"/>
      <c r="G315" s="26">
        <f aca="true" t="shared" si="15" ref="G315:I316">G316</f>
        <v>7.699999999999999</v>
      </c>
      <c r="H315" s="26">
        <f t="shared" si="15"/>
        <v>0</v>
      </c>
      <c r="I315" s="26">
        <f t="shared" si="15"/>
        <v>0</v>
      </c>
    </row>
    <row r="316" spans="1:9" s="56" customFormat="1" ht="47.25">
      <c r="A316" s="45" t="s">
        <v>69</v>
      </c>
      <c r="B316" s="10" t="s">
        <v>30</v>
      </c>
      <c r="C316" s="10" t="s">
        <v>20</v>
      </c>
      <c r="D316" s="10" t="s">
        <v>113</v>
      </c>
      <c r="E316" s="23"/>
      <c r="F316" s="25"/>
      <c r="G316" s="26">
        <f t="shared" si="15"/>
        <v>7.699999999999999</v>
      </c>
      <c r="H316" s="26">
        <f t="shared" si="15"/>
        <v>0</v>
      </c>
      <c r="I316" s="26">
        <f t="shared" si="15"/>
        <v>0</v>
      </c>
    </row>
    <row r="317" spans="1:9" s="56" customFormat="1" ht="47.25">
      <c r="A317" s="65" t="s">
        <v>74</v>
      </c>
      <c r="B317" s="23" t="s">
        <v>30</v>
      </c>
      <c r="C317" s="23" t="s">
        <v>20</v>
      </c>
      <c r="D317" s="10" t="s">
        <v>113</v>
      </c>
      <c r="E317" s="23" t="s">
        <v>73</v>
      </c>
      <c r="F317" s="25"/>
      <c r="G317" s="26">
        <f>23-15.3</f>
        <v>7.699999999999999</v>
      </c>
      <c r="H317" s="26"/>
      <c r="I317" s="26"/>
    </row>
    <row r="318" spans="1:9" s="56" customFormat="1" ht="45.75" customHeight="1">
      <c r="A318" s="75" t="s">
        <v>315</v>
      </c>
      <c r="B318" s="19" t="s">
        <v>30</v>
      </c>
      <c r="C318" s="19" t="s">
        <v>20</v>
      </c>
      <c r="D318" s="23" t="s">
        <v>164</v>
      </c>
      <c r="E318" s="23"/>
      <c r="F318" s="25"/>
      <c r="G318" s="26">
        <f aca="true" t="shared" si="16" ref="G318:I319">G319</f>
        <v>15.4</v>
      </c>
      <c r="H318" s="26">
        <f t="shared" si="16"/>
        <v>0</v>
      </c>
      <c r="I318" s="26">
        <f t="shared" si="16"/>
        <v>0</v>
      </c>
    </row>
    <row r="319" spans="1:9" s="56" customFormat="1" ht="31.5">
      <c r="A319" s="45" t="s">
        <v>223</v>
      </c>
      <c r="B319" s="19" t="s">
        <v>30</v>
      </c>
      <c r="C319" s="19" t="s">
        <v>20</v>
      </c>
      <c r="D319" s="23" t="s">
        <v>165</v>
      </c>
      <c r="E319" s="23"/>
      <c r="F319" s="25"/>
      <c r="G319" s="26">
        <f t="shared" si="16"/>
        <v>15.4</v>
      </c>
      <c r="H319" s="26">
        <f t="shared" si="16"/>
        <v>0</v>
      </c>
      <c r="I319" s="26">
        <f t="shared" si="16"/>
        <v>0</v>
      </c>
    </row>
    <row r="320" spans="1:9" s="56" customFormat="1" ht="47.25">
      <c r="A320" s="65" t="s">
        <v>74</v>
      </c>
      <c r="B320" s="19" t="s">
        <v>30</v>
      </c>
      <c r="C320" s="19" t="s">
        <v>20</v>
      </c>
      <c r="D320" s="23" t="s">
        <v>165</v>
      </c>
      <c r="E320" s="23" t="s">
        <v>73</v>
      </c>
      <c r="F320" s="25"/>
      <c r="G320" s="26">
        <f>20-4.6</f>
        <v>15.4</v>
      </c>
      <c r="H320" s="26"/>
      <c r="I320" s="26"/>
    </row>
    <row r="321" spans="1:9" s="56" customFormat="1" ht="47.25">
      <c r="A321" s="37" t="s">
        <v>320</v>
      </c>
      <c r="B321" s="19" t="s">
        <v>30</v>
      </c>
      <c r="C321" s="19" t="s">
        <v>20</v>
      </c>
      <c r="D321" s="19" t="s">
        <v>155</v>
      </c>
      <c r="E321" s="23"/>
      <c r="F321" s="25"/>
      <c r="G321" s="26">
        <f aca="true" t="shared" si="17" ref="G321:I322">G322</f>
        <v>7.8</v>
      </c>
      <c r="H321" s="26">
        <f t="shared" si="17"/>
        <v>0</v>
      </c>
      <c r="I321" s="26">
        <f t="shared" si="17"/>
        <v>0</v>
      </c>
    </row>
    <row r="322" spans="1:9" s="56" customFormat="1" ht="31.5">
      <c r="A322" s="40" t="s">
        <v>224</v>
      </c>
      <c r="B322" s="19" t="s">
        <v>30</v>
      </c>
      <c r="C322" s="19" t="s">
        <v>20</v>
      </c>
      <c r="D322" s="19" t="s">
        <v>156</v>
      </c>
      <c r="E322" s="23"/>
      <c r="F322" s="25"/>
      <c r="G322" s="26">
        <f t="shared" si="17"/>
        <v>7.8</v>
      </c>
      <c r="H322" s="26">
        <f t="shared" si="17"/>
        <v>0</v>
      </c>
      <c r="I322" s="26">
        <f t="shared" si="17"/>
        <v>0</v>
      </c>
    </row>
    <row r="323" spans="1:9" s="56" customFormat="1" ht="47.25">
      <c r="A323" s="65" t="s">
        <v>74</v>
      </c>
      <c r="B323" s="19" t="s">
        <v>30</v>
      </c>
      <c r="C323" s="19" t="s">
        <v>20</v>
      </c>
      <c r="D323" s="19" t="s">
        <v>156</v>
      </c>
      <c r="E323" s="23" t="s">
        <v>73</v>
      </c>
      <c r="F323" s="25"/>
      <c r="G323" s="26">
        <f>7.8</f>
        <v>7.8</v>
      </c>
      <c r="H323" s="26"/>
      <c r="I323" s="26"/>
    </row>
    <row r="324" spans="1:9" s="3" customFormat="1" ht="63">
      <c r="A324" s="59" t="s">
        <v>227</v>
      </c>
      <c r="B324" s="19" t="s">
        <v>30</v>
      </c>
      <c r="C324" s="19" t="s">
        <v>20</v>
      </c>
      <c r="D324" s="19" t="s">
        <v>155</v>
      </c>
      <c r="E324" s="19"/>
      <c r="F324" s="14"/>
      <c r="G324" s="15">
        <f aca="true" t="shared" si="18" ref="G324:I325">G325</f>
        <v>262.80000000000007</v>
      </c>
      <c r="H324" s="15">
        <f t="shared" si="18"/>
        <v>0</v>
      </c>
      <c r="I324" s="15">
        <f t="shared" si="18"/>
        <v>0</v>
      </c>
    </row>
    <row r="325" spans="1:9" s="3" customFormat="1" ht="31.5">
      <c r="A325" s="40" t="s">
        <v>224</v>
      </c>
      <c r="B325" s="19" t="s">
        <v>30</v>
      </c>
      <c r="C325" s="19" t="s">
        <v>20</v>
      </c>
      <c r="D325" s="19" t="s">
        <v>156</v>
      </c>
      <c r="E325" s="19"/>
      <c r="F325" s="14"/>
      <c r="G325" s="15">
        <f t="shared" si="18"/>
        <v>262.80000000000007</v>
      </c>
      <c r="H325" s="15">
        <f t="shared" si="18"/>
        <v>0</v>
      </c>
      <c r="I325" s="15">
        <f t="shared" si="18"/>
        <v>0</v>
      </c>
    </row>
    <row r="326" spans="1:9" s="3" customFormat="1" ht="47.25">
      <c r="A326" s="65" t="s">
        <v>74</v>
      </c>
      <c r="B326" s="19" t="s">
        <v>30</v>
      </c>
      <c r="C326" s="19" t="s">
        <v>20</v>
      </c>
      <c r="D326" s="19" t="s">
        <v>156</v>
      </c>
      <c r="E326" s="19" t="s">
        <v>73</v>
      </c>
      <c r="F326" s="14"/>
      <c r="G326" s="15">
        <f>195+30+3.6+1+2+3+9+0.9+1.8+5.8+0.9+1.8+8</f>
        <v>262.80000000000007</v>
      </c>
      <c r="H326" s="15"/>
      <c r="I326" s="15"/>
    </row>
    <row r="327" spans="1:9" s="3" customFormat="1" ht="63">
      <c r="A327" s="75" t="s">
        <v>316</v>
      </c>
      <c r="B327" s="19" t="s">
        <v>30</v>
      </c>
      <c r="C327" s="19" t="s">
        <v>20</v>
      </c>
      <c r="D327" s="19" t="s">
        <v>158</v>
      </c>
      <c r="E327" s="19"/>
      <c r="F327" s="14"/>
      <c r="G327" s="15">
        <f aca="true" t="shared" si="19" ref="G327:I328">G328</f>
        <v>8</v>
      </c>
      <c r="H327" s="15">
        <f t="shared" si="19"/>
        <v>0</v>
      </c>
      <c r="I327" s="15">
        <f t="shared" si="19"/>
        <v>0</v>
      </c>
    </row>
    <row r="328" spans="1:9" s="3" customFormat="1" ht="31.5">
      <c r="A328" s="40" t="s">
        <v>224</v>
      </c>
      <c r="B328" s="19" t="s">
        <v>30</v>
      </c>
      <c r="C328" s="19" t="s">
        <v>20</v>
      </c>
      <c r="D328" s="19" t="s">
        <v>159</v>
      </c>
      <c r="E328" s="19"/>
      <c r="F328" s="14"/>
      <c r="G328" s="15">
        <f t="shared" si="19"/>
        <v>8</v>
      </c>
      <c r="H328" s="15">
        <f t="shared" si="19"/>
        <v>0</v>
      </c>
      <c r="I328" s="15">
        <f t="shared" si="19"/>
        <v>0</v>
      </c>
    </row>
    <row r="329" spans="1:9" s="3" customFormat="1" ht="47.25">
      <c r="A329" s="65" t="s">
        <v>74</v>
      </c>
      <c r="B329" s="19" t="s">
        <v>30</v>
      </c>
      <c r="C329" s="19" t="s">
        <v>20</v>
      </c>
      <c r="D329" s="19" t="s">
        <v>159</v>
      </c>
      <c r="E329" s="19" t="s">
        <v>73</v>
      </c>
      <c r="F329" s="14"/>
      <c r="G329" s="15">
        <f>1+1+6</f>
        <v>8</v>
      </c>
      <c r="H329" s="15"/>
      <c r="I329" s="15"/>
    </row>
    <row r="330" spans="1:9" s="53" customFormat="1" ht="29.25" customHeight="1">
      <c r="A330" s="34" t="s">
        <v>34</v>
      </c>
      <c r="B330" s="9" t="s">
        <v>30</v>
      </c>
      <c r="C330" s="9" t="s">
        <v>30</v>
      </c>
      <c r="D330" s="9"/>
      <c r="E330" s="9"/>
      <c r="F330" s="11" t="e">
        <f>#REF!+#REF!</f>
        <v>#REF!</v>
      </c>
      <c r="G330" s="12">
        <f>G331</f>
        <v>1100.5049999999999</v>
      </c>
      <c r="H330" s="12">
        <f>H331</f>
        <v>1098.1</v>
      </c>
      <c r="I330" s="12">
        <f>I331</f>
        <v>1048.1</v>
      </c>
    </row>
    <row r="331" spans="1:9" s="53" customFormat="1" ht="78.75">
      <c r="A331" s="71" t="s">
        <v>314</v>
      </c>
      <c r="B331" s="23" t="s">
        <v>30</v>
      </c>
      <c r="C331" s="24" t="s">
        <v>30</v>
      </c>
      <c r="D331" s="24" t="s">
        <v>162</v>
      </c>
      <c r="E331" s="24"/>
      <c r="F331" s="11"/>
      <c r="G331" s="26">
        <f>G332+G334+G336</f>
        <v>1100.5049999999999</v>
      </c>
      <c r="H331" s="26">
        <f>H332+H334+H336</f>
        <v>1098.1</v>
      </c>
      <c r="I331" s="26">
        <f>I332+I334+I336</f>
        <v>1048.1</v>
      </c>
    </row>
    <row r="332" spans="1:9" s="53" customFormat="1" ht="102.75" customHeight="1">
      <c r="A332" s="78" t="s">
        <v>107</v>
      </c>
      <c r="B332" s="23" t="s">
        <v>30</v>
      </c>
      <c r="C332" s="24" t="s">
        <v>30</v>
      </c>
      <c r="D332" s="24" t="s">
        <v>163</v>
      </c>
      <c r="E332" s="24"/>
      <c r="F332" s="11"/>
      <c r="G332" s="26">
        <f>G333</f>
        <v>52.405</v>
      </c>
      <c r="H332" s="26">
        <f>H333</f>
        <v>50</v>
      </c>
      <c r="I332" s="26">
        <f>I333</f>
        <v>0</v>
      </c>
    </row>
    <row r="333" spans="1:9" s="53" customFormat="1" ht="47.25">
      <c r="A333" s="65" t="s">
        <v>74</v>
      </c>
      <c r="B333" s="23" t="s">
        <v>30</v>
      </c>
      <c r="C333" s="24" t="s">
        <v>30</v>
      </c>
      <c r="D333" s="24" t="s">
        <v>163</v>
      </c>
      <c r="E333" s="24" t="s">
        <v>73</v>
      </c>
      <c r="F333" s="11"/>
      <c r="G333" s="26">
        <f>50+2.405</f>
        <v>52.405</v>
      </c>
      <c r="H333" s="26">
        <v>50</v>
      </c>
      <c r="I333" s="26"/>
    </row>
    <row r="334" spans="1:9" s="53" customFormat="1" ht="63" hidden="1">
      <c r="A334" s="32" t="s">
        <v>184</v>
      </c>
      <c r="B334" s="23" t="s">
        <v>30</v>
      </c>
      <c r="C334" s="24" t="s">
        <v>30</v>
      </c>
      <c r="D334" s="24" t="s">
        <v>185</v>
      </c>
      <c r="E334" s="24"/>
      <c r="F334" s="11"/>
      <c r="G334" s="26">
        <f>G335</f>
        <v>0</v>
      </c>
      <c r="H334" s="26">
        <f>H335</f>
        <v>0</v>
      </c>
      <c r="I334" s="26">
        <f>I335</f>
        <v>0</v>
      </c>
    </row>
    <row r="335" spans="1:9" s="53" customFormat="1" ht="47.25" hidden="1">
      <c r="A335" s="32" t="s">
        <v>74</v>
      </c>
      <c r="B335" s="23" t="s">
        <v>30</v>
      </c>
      <c r="C335" s="24" t="s">
        <v>30</v>
      </c>
      <c r="D335" s="24" t="s">
        <v>185</v>
      </c>
      <c r="E335" s="24" t="s">
        <v>73</v>
      </c>
      <c r="F335" s="11"/>
      <c r="G335" s="26"/>
      <c r="H335" s="26"/>
      <c r="I335" s="26"/>
    </row>
    <row r="336" spans="1:9" s="53" customFormat="1" ht="60" customHeight="1">
      <c r="A336" s="45" t="s">
        <v>299</v>
      </c>
      <c r="B336" s="23" t="s">
        <v>30</v>
      </c>
      <c r="C336" s="23" t="s">
        <v>30</v>
      </c>
      <c r="D336" s="23" t="s">
        <v>186</v>
      </c>
      <c r="E336" s="23"/>
      <c r="F336" s="11"/>
      <c r="G336" s="26">
        <f>G337</f>
        <v>1048.1</v>
      </c>
      <c r="H336" s="26">
        <f>H337</f>
        <v>1048.1</v>
      </c>
      <c r="I336" s="26">
        <f>I337</f>
        <v>1048.1</v>
      </c>
    </row>
    <row r="337" spans="1:9" s="53" customFormat="1" ht="47.25">
      <c r="A337" s="32" t="s">
        <v>74</v>
      </c>
      <c r="B337" s="23" t="s">
        <v>30</v>
      </c>
      <c r="C337" s="23" t="s">
        <v>30</v>
      </c>
      <c r="D337" s="23" t="s">
        <v>186</v>
      </c>
      <c r="E337" s="23" t="s">
        <v>73</v>
      </c>
      <c r="F337" s="11"/>
      <c r="G337" s="26">
        <v>1048.1</v>
      </c>
      <c r="H337" s="26">
        <v>1048.1</v>
      </c>
      <c r="I337" s="26">
        <v>1048.1</v>
      </c>
    </row>
    <row r="338" spans="1:9" s="56" customFormat="1" ht="15.75">
      <c r="A338" s="90" t="s">
        <v>260</v>
      </c>
      <c r="B338" s="30" t="s">
        <v>30</v>
      </c>
      <c r="C338" s="30" t="s">
        <v>21</v>
      </c>
      <c r="D338" s="30"/>
      <c r="E338" s="30"/>
      <c r="F338" s="28"/>
      <c r="G338" s="29">
        <f aca="true" t="shared" si="20" ref="G338:I339">G339</f>
        <v>2.23</v>
      </c>
      <c r="H338" s="29">
        <f t="shared" si="20"/>
        <v>0</v>
      </c>
      <c r="I338" s="29">
        <f t="shared" si="20"/>
        <v>0</v>
      </c>
    </row>
    <row r="339" spans="1:9" s="53" customFormat="1" ht="31.5">
      <c r="A339" s="65" t="s">
        <v>76</v>
      </c>
      <c r="B339" s="23" t="s">
        <v>30</v>
      </c>
      <c r="C339" s="23" t="s">
        <v>21</v>
      </c>
      <c r="D339" s="23" t="s">
        <v>119</v>
      </c>
      <c r="E339" s="23"/>
      <c r="F339" s="11"/>
      <c r="G339" s="26">
        <f t="shared" si="20"/>
        <v>2.23</v>
      </c>
      <c r="H339" s="26">
        <f t="shared" si="20"/>
        <v>0</v>
      </c>
      <c r="I339" s="26">
        <f t="shared" si="20"/>
        <v>0</v>
      </c>
    </row>
    <row r="340" spans="1:9" s="53" customFormat="1" ht="31.5">
      <c r="A340" s="45" t="s">
        <v>223</v>
      </c>
      <c r="B340" s="23" t="s">
        <v>30</v>
      </c>
      <c r="C340" s="23" t="s">
        <v>21</v>
      </c>
      <c r="D340" s="23" t="s">
        <v>261</v>
      </c>
      <c r="E340" s="23"/>
      <c r="F340" s="11"/>
      <c r="G340" s="26">
        <f>G341+G342+G343+G344</f>
        <v>2.23</v>
      </c>
      <c r="H340" s="26">
        <f>H341+H342+H343+H344</f>
        <v>0</v>
      </c>
      <c r="I340" s="26">
        <f>I341+I342+I343+I344</f>
        <v>0</v>
      </c>
    </row>
    <row r="341" spans="1:9" s="53" customFormat="1" ht="47.25">
      <c r="A341" s="65" t="s">
        <v>81</v>
      </c>
      <c r="B341" s="23" t="s">
        <v>30</v>
      </c>
      <c r="C341" s="23" t="s">
        <v>21</v>
      </c>
      <c r="D341" s="23" t="s">
        <v>261</v>
      </c>
      <c r="E341" s="23" t="s">
        <v>65</v>
      </c>
      <c r="F341" s="11"/>
      <c r="G341" s="26">
        <f>0.02</f>
        <v>0.02</v>
      </c>
      <c r="H341" s="26"/>
      <c r="I341" s="26"/>
    </row>
    <row r="342" spans="1:9" s="53" customFormat="1" ht="63">
      <c r="A342" s="39" t="s">
        <v>189</v>
      </c>
      <c r="B342" s="23" t="s">
        <v>30</v>
      </c>
      <c r="C342" s="23" t="s">
        <v>21</v>
      </c>
      <c r="D342" s="23" t="s">
        <v>261</v>
      </c>
      <c r="E342" s="23" t="s">
        <v>149</v>
      </c>
      <c r="F342" s="11"/>
      <c r="G342" s="26">
        <f>1.3</f>
        <v>1.3</v>
      </c>
      <c r="H342" s="26"/>
      <c r="I342" s="26"/>
    </row>
    <row r="343" spans="1:9" s="53" customFormat="1" ht="47.25">
      <c r="A343" s="32" t="s">
        <v>74</v>
      </c>
      <c r="B343" s="23" t="s">
        <v>30</v>
      </c>
      <c r="C343" s="23" t="s">
        <v>21</v>
      </c>
      <c r="D343" s="23" t="s">
        <v>261</v>
      </c>
      <c r="E343" s="23" t="s">
        <v>73</v>
      </c>
      <c r="F343" s="11"/>
      <c r="G343" s="26">
        <f>0.81</f>
        <v>0.81</v>
      </c>
      <c r="H343" s="26"/>
      <c r="I343" s="26"/>
    </row>
    <row r="344" spans="1:9" s="53" customFormat="1" ht="15.75">
      <c r="A344" s="76" t="s">
        <v>214</v>
      </c>
      <c r="B344" s="23" t="s">
        <v>30</v>
      </c>
      <c r="C344" s="23" t="s">
        <v>21</v>
      </c>
      <c r="D344" s="23" t="s">
        <v>261</v>
      </c>
      <c r="E344" s="23" t="s">
        <v>212</v>
      </c>
      <c r="F344" s="11"/>
      <c r="G344" s="26">
        <f>0.1</f>
        <v>0.1</v>
      </c>
      <c r="H344" s="26"/>
      <c r="I344" s="26"/>
    </row>
    <row r="345" spans="1:9" s="53" customFormat="1" ht="15.75">
      <c r="A345" s="34" t="s">
        <v>56</v>
      </c>
      <c r="B345" s="9" t="s">
        <v>35</v>
      </c>
      <c r="C345" s="9"/>
      <c r="D345" s="9"/>
      <c r="E345" s="9"/>
      <c r="F345" s="11" t="e">
        <f>F346+#REF!+#REF!</f>
        <v>#REF!</v>
      </c>
      <c r="G345" s="12">
        <f>G346</f>
        <v>7000.13</v>
      </c>
      <c r="H345" s="12">
        <f>H346</f>
        <v>7401.8</v>
      </c>
      <c r="I345" s="12">
        <f>I346</f>
        <v>7573.5</v>
      </c>
    </row>
    <row r="346" spans="1:9" s="53" customFormat="1" ht="15.75">
      <c r="A346" s="34" t="s">
        <v>36</v>
      </c>
      <c r="B346" s="9" t="s">
        <v>35</v>
      </c>
      <c r="C346" s="9" t="s">
        <v>6</v>
      </c>
      <c r="D346" s="9"/>
      <c r="E346" s="9"/>
      <c r="F346" s="11" t="e">
        <f>#REF!+F371+#REF!+#REF!</f>
        <v>#REF!</v>
      </c>
      <c r="G346" s="12">
        <f>G360+G369+G373+G382+G353+G347</f>
        <v>7000.13</v>
      </c>
      <c r="H346" s="12">
        <f>H360+H369+H373+H382+H353+H347</f>
        <v>7401.8</v>
      </c>
      <c r="I346" s="12">
        <f>I360+I369+I373+I382+I353+I347</f>
        <v>7573.5</v>
      </c>
    </row>
    <row r="347" spans="1:9" s="53" customFormat="1" ht="78.75" hidden="1">
      <c r="A347" s="37" t="s">
        <v>331</v>
      </c>
      <c r="B347" s="19" t="s">
        <v>35</v>
      </c>
      <c r="C347" s="19" t="s">
        <v>6</v>
      </c>
      <c r="D347" s="19" t="s">
        <v>121</v>
      </c>
      <c r="E347" s="9"/>
      <c r="F347" s="11"/>
      <c r="G347" s="12">
        <f aca="true" t="shared" si="21" ref="G347:I349">G348</f>
        <v>0</v>
      </c>
      <c r="H347" s="12">
        <f t="shared" si="21"/>
        <v>0</v>
      </c>
      <c r="I347" s="12">
        <f t="shared" si="21"/>
        <v>0</v>
      </c>
    </row>
    <row r="348" spans="1:9" s="57" customFormat="1" ht="78.75" hidden="1">
      <c r="A348" s="40" t="s">
        <v>332</v>
      </c>
      <c r="B348" s="19" t="s">
        <v>35</v>
      </c>
      <c r="C348" s="19" t="s">
        <v>6</v>
      </c>
      <c r="D348" s="19" t="s">
        <v>333</v>
      </c>
      <c r="E348" s="23"/>
      <c r="F348" s="25"/>
      <c r="G348" s="26">
        <f t="shared" si="21"/>
        <v>0</v>
      </c>
      <c r="H348" s="26">
        <f t="shared" si="21"/>
        <v>0</v>
      </c>
      <c r="I348" s="26">
        <f t="shared" si="21"/>
        <v>0</v>
      </c>
    </row>
    <row r="349" spans="1:9" s="57" customFormat="1" ht="78.75" hidden="1">
      <c r="A349" s="40" t="s">
        <v>335</v>
      </c>
      <c r="B349" s="19" t="s">
        <v>35</v>
      </c>
      <c r="C349" s="19" t="s">
        <v>6</v>
      </c>
      <c r="D349" s="19" t="s">
        <v>334</v>
      </c>
      <c r="E349" s="23"/>
      <c r="F349" s="25"/>
      <c r="G349" s="26">
        <f t="shared" si="21"/>
        <v>0</v>
      </c>
      <c r="H349" s="26">
        <f t="shared" si="21"/>
        <v>0</v>
      </c>
      <c r="I349" s="26">
        <f t="shared" si="21"/>
        <v>0</v>
      </c>
    </row>
    <row r="350" spans="1:9" s="57" customFormat="1" ht="110.25" hidden="1">
      <c r="A350" s="40" t="s">
        <v>337</v>
      </c>
      <c r="B350" s="19" t="s">
        <v>35</v>
      </c>
      <c r="C350" s="19" t="s">
        <v>6</v>
      </c>
      <c r="D350" s="19" t="s">
        <v>336</v>
      </c>
      <c r="E350" s="23"/>
      <c r="F350" s="25"/>
      <c r="G350" s="26">
        <f>G351+G352</f>
        <v>0</v>
      </c>
      <c r="H350" s="26">
        <f>H351+H352</f>
        <v>0</v>
      </c>
      <c r="I350" s="26">
        <f>I351+I352</f>
        <v>0</v>
      </c>
    </row>
    <row r="351" spans="1:9" s="57" customFormat="1" ht="47.25" hidden="1">
      <c r="A351" s="32" t="s">
        <v>74</v>
      </c>
      <c r="B351" s="19" t="s">
        <v>35</v>
      </c>
      <c r="C351" s="19" t="s">
        <v>6</v>
      </c>
      <c r="D351" s="19" t="s">
        <v>336</v>
      </c>
      <c r="E351" s="23" t="s">
        <v>73</v>
      </c>
      <c r="F351" s="25"/>
      <c r="G351" s="26">
        <f>11.08+6-17.08</f>
        <v>0</v>
      </c>
      <c r="H351" s="26"/>
      <c r="I351" s="26"/>
    </row>
    <row r="352" spans="1:9" s="57" customFormat="1" ht="31.5" hidden="1">
      <c r="A352" s="67" t="s">
        <v>64</v>
      </c>
      <c r="B352" s="19" t="s">
        <v>35</v>
      </c>
      <c r="C352" s="19" t="s">
        <v>6</v>
      </c>
      <c r="D352" s="19" t="s">
        <v>336</v>
      </c>
      <c r="E352" s="23" t="s">
        <v>63</v>
      </c>
      <c r="F352" s="25"/>
      <c r="G352" s="26">
        <f>11.52+39-50.52</f>
        <v>0</v>
      </c>
      <c r="H352" s="26"/>
      <c r="I352" s="26"/>
    </row>
    <row r="353" spans="1:9" s="53" customFormat="1" ht="66" customHeight="1">
      <c r="A353" s="74" t="s">
        <v>313</v>
      </c>
      <c r="B353" s="23" t="s">
        <v>35</v>
      </c>
      <c r="C353" s="23" t="s">
        <v>6</v>
      </c>
      <c r="D353" s="23" t="s">
        <v>237</v>
      </c>
      <c r="E353" s="23"/>
      <c r="F353" s="25"/>
      <c r="G353" s="26">
        <f aca="true" t="shared" si="22" ref="G353:I358">G354</f>
        <v>1107.2</v>
      </c>
      <c r="H353" s="26">
        <f t="shared" si="22"/>
        <v>60</v>
      </c>
      <c r="I353" s="12">
        <f t="shared" si="22"/>
        <v>0</v>
      </c>
    </row>
    <row r="354" spans="1:9" s="57" customFormat="1" ht="78.75">
      <c r="A354" s="85" t="s">
        <v>236</v>
      </c>
      <c r="B354" s="23" t="s">
        <v>35</v>
      </c>
      <c r="C354" s="23" t="s">
        <v>6</v>
      </c>
      <c r="D354" s="23" t="s">
        <v>238</v>
      </c>
      <c r="E354" s="23"/>
      <c r="F354" s="25"/>
      <c r="G354" s="26">
        <f t="shared" si="22"/>
        <v>1107.2</v>
      </c>
      <c r="H354" s="26">
        <f t="shared" si="22"/>
        <v>60</v>
      </c>
      <c r="I354" s="26">
        <f t="shared" si="22"/>
        <v>0</v>
      </c>
    </row>
    <row r="355" spans="1:9" s="57" customFormat="1" ht="78.75">
      <c r="A355" s="86" t="s">
        <v>265</v>
      </c>
      <c r="B355" s="23" t="s">
        <v>35</v>
      </c>
      <c r="C355" s="23" t="s">
        <v>6</v>
      </c>
      <c r="D355" s="23" t="s">
        <v>239</v>
      </c>
      <c r="E355" s="23"/>
      <c r="F355" s="25"/>
      <c r="G355" s="26">
        <f>G358+G356</f>
        <v>1107.2</v>
      </c>
      <c r="H355" s="26">
        <f>H358+H356</f>
        <v>60</v>
      </c>
      <c r="I355" s="26">
        <f>I358+I356</f>
        <v>0</v>
      </c>
    </row>
    <row r="356" spans="1:9" s="57" customFormat="1" ht="63" hidden="1">
      <c r="A356" s="50" t="s">
        <v>300</v>
      </c>
      <c r="B356" s="23" t="s">
        <v>35</v>
      </c>
      <c r="C356" s="23" t="s">
        <v>6</v>
      </c>
      <c r="D356" s="23" t="s">
        <v>272</v>
      </c>
      <c r="E356" s="23"/>
      <c r="F356" s="25"/>
      <c r="G356" s="26">
        <f>G357</f>
        <v>0</v>
      </c>
      <c r="H356" s="26">
        <f>H357</f>
        <v>0</v>
      </c>
      <c r="I356" s="26">
        <f>I357</f>
        <v>0</v>
      </c>
    </row>
    <row r="357" spans="1:9" s="57" customFormat="1" ht="31.5" hidden="1">
      <c r="A357" s="67" t="s">
        <v>64</v>
      </c>
      <c r="B357" s="23" t="s">
        <v>35</v>
      </c>
      <c r="C357" s="23" t="s">
        <v>6</v>
      </c>
      <c r="D357" s="23" t="s">
        <v>272</v>
      </c>
      <c r="E357" s="23" t="s">
        <v>63</v>
      </c>
      <c r="F357" s="25"/>
      <c r="G357" s="26"/>
      <c r="H357" s="26"/>
      <c r="I357" s="26"/>
    </row>
    <row r="358" spans="1:9" s="57" customFormat="1" ht="63">
      <c r="A358" s="50" t="s">
        <v>301</v>
      </c>
      <c r="B358" s="23" t="s">
        <v>35</v>
      </c>
      <c r="C358" s="23" t="s">
        <v>6</v>
      </c>
      <c r="D358" s="23" t="s">
        <v>270</v>
      </c>
      <c r="E358" s="23"/>
      <c r="F358" s="25"/>
      <c r="G358" s="26">
        <f t="shared" si="22"/>
        <v>1107.2</v>
      </c>
      <c r="H358" s="26">
        <f t="shared" si="22"/>
        <v>60</v>
      </c>
      <c r="I358" s="26">
        <f t="shared" si="22"/>
        <v>0</v>
      </c>
    </row>
    <row r="359" spans="1:9" s="57" customFormat="1" ht="31.5">
      <c r="A359" s="67" t="s">
        <v>64</v>
      </c>
      <c r="B359" s="23" t="s">
        <v>35</v>
      </c>
      <c r="C359" s="23" t="s">
        <v>6</v>
      </c>
      <c r="D359" s="23" t="s">
        <v>270</v>
      </c>
      <c r="E359" s="23" t="s">
        <v>63</v>
      </c>
      <c r="F359" s="25"/>
      <c r="G359" s="26">
        <f>60+34+1033.2-20</f>
        <v>1107.2</v>
      </c>
      <c r="H359" s="26">
        <v>60</v>
      </c>
      <c r="I359" s="26"/>
    </row>
    <row r="360" spans="1:9" s="3" customFormat="1" ht="75.75" customHeight="1">
      <c r="A360" s="82" t="s">
        <v>312</v>
      </c>
      <c r="B360" s="19" t="s">
        <v>35</v>
      </c>
      <c r="C360" s="19" t="s">
        <v>6</v>
      </c>
      <c r="D360" s="19" t="s">
        <v>166</v>
      </c>
      <c r="E360" s="19"/>
      <c r="F360" s="14"/>
      <c r="G360" s="15">
        <f>G361</f>
        <v>338.33000000000004</v>
      </c>
      <c r="H360" s="15">
        <f>H361</f>
        <v>646.6</v>
      </c>
      <c r="I360" s="15">
        <f>I361</f>
        <v>685.5</v>
      </c>
    </row>
    <row r="361" spans="1:9" s="3" customFormat="1" ht="31.5">
      <c r="A361" s="45" t="s">
        <v>225</v>
      </c>
      <c r="B361" s="19" t="s">
        <v>35</v>
      </c>
      <c r="C361" s="19" t="s">
        <v>6</v>
      </c>
      <c r="D361" s="19" t="s">
        <v>167</v>
      </c>
      <c r="E361" s="19"/>
      <c r="F361" s="14"/>
      <c r="G361" s="15">
        <f>G362+G363+G365+G367+G364+G366+G368</f>
        <v>338.33000000000004</v>
      </c>
      <c r="H361" s="15">
        <f>H362+H363+H365+H367+H364+H366+H368</f>
        <v>646.6</v>
      </c>
      <c r="I361" s="15">
        <f>I362+I363+I365+I367+I364+I366+I368</f>
        <v>685.5</v>
      </c>
    </row>
    <row r="362" spans="1:9" s="3" customFormat="1" ht="15.75">
      <c r="A362" s="32" t="s">
        <v>188</v>
      </c>
      <c r="B362" s="19" t="s">
        <v>35</v>
      </c>
      <c r="C362" s="19" t="s">
        <v>6</v>
      </c>
      <c r="D362" s="19" t="s">
        <v>167</v>
      </c>
      <c r="E362" s="19" t="s">
        <v>84</v>
      </c>
      <c r="F362" s="14">
        <f>F363</f>
        <v>6848</v>
      </c>
      <c r="G362" s="15">
        <f>372.9-0.4-60-85-47-18.7</f>
        <v>161.8</v>
      </c>
      <c r="H362" s="15">
        <v>372.9</v>
      </c>
      <c r="I362" s="15">
        <v>372.9</v>
      </c>
    </row>
    <row r="363" spans="1:9" s="3" customFormat="1" ht="47.25" hidden="1">
      <c r="A363" s="32" t="s">
        <v>81</v>
      </c>
      <c r="B363" s="19" t="s">
        <v>35</v>
      </c>
      <c r="C363" s="19" t="s">
        <v>6</v>
      </c>
      <c r="D363" s="19" t="s">
        <v>167</v>
      </c>
      <c r="E363" s="19" t="s">
        <v>65</v>
      </c>
      <c r="F363" s="14">
        <f>6746+102</f>
        <v>6848</v>
      </c>
      <c r="G363" s="15"/>
      <c r="H363" s="15"/>
      <c r="I363" s="15"/>
    </row>
    <row r="364" spans="1:9" s="3" customFormat="1" ht="63">
      <c r="A364" s="39" t="s">
        <v>189</v>
      </c>
      <c r="B364" s="19" t="s">
        <v>35</v>
      </c>
      <c r="C364" s="19" t="s">
        <v>6</v>
      </c>
      <c r="D364" s="19" t="s">
        <v>167</v>
      </c>
      <c r="E364" s="19" t="s">
        <v>149</v>
      </c>
      <c r="F364" s="14"/>
      <c r="G364" s="15">
        <f>112.6-0.015-48-0.012-0.012-20.9</f>
        <v>43.660999999999994</v>
      </c>
      <c r="H364" s="15">
        <v>112.6</v>
      </c>
      <c r="I364" s="15">
        <v>112.6</v>
      </c>
    </row>
    <row r="365" spans="1:9" s="3" customFormat="1" ht="47.25">
      <c r="A365" s="32" t="s">
        <v>74</v>
      </c>
      <c r="B365" s="19" t="s">
        <v>35</v>
      </c>
      <c r="C365" s="19" t="s">
        <v>6</v>
      </c>
      <c r="D365" s="19" t="s">
        <v>167</v>
      </c>
      <c r="E365" s="54" t="s">
        <v>73</v>
      </c>
      <c r="F365" s="14">
        <f>F367</f>
        <v>6848</v>
      </c>
      <c r="G365" s="15">
        <f>100+43-10.57</f>
        <v>132.43</v>
      </c>
      <c r="H365" s="15">
        <v>161.1</v>
      </c>
      <c r="I365" s="15">
        <v>200</v>
      </c>
    </row>
    <row r="366" spans="1:9" s="3" customFormat="1" ht="31.5" hidden="1">
      <c r="A366" s="38" t="s">
        <v>75</v>
      </c>
      <c r="B366" s="19" t="s">
        <v>35</v>
      </c>
      <c r="C366" s="19" t="s">
        <v>6</v>
      </c>
      <c r="D366" s="19" t="s">
        <v>167</v>
      </c>
      <c r="E366" s="54" t="s">
        <v>77</v>
      </c>
      <c r="F366" s="14"/>
      <c r="G366" s="15"/>
      <c r="H366" s="15"/>
      <c r="I366" s="15"/>
    </row>
    <row r="367" spans="1:9" s="3" customFormat="1" ht="31.5" hidden="1">
      <c r="A367" s="38" t="s">
        <v>82</v>
      </c>
      <c r="B367" s="19" t="s">
        <v>35</v>
      </c>
      <c r="C367" s="19" t="s">
        <v>6</v>
      </c>
      <c r="D367" s="19" t="s">
        <v>167</v>
      </c>
      <c r="E367" s="54" t="s">
        <v>85</v>
      </c>
      <c r="F367" s="14">
        <f>6746+102</f>
        <v>6848</v>
      </c>
      <c r="G367" s="15"/>
      <c r="H367" s="15"/>
      <c r="I367" s="15"/>
    </row>
    <row r="368" spans="1:9" s="3" customFormat="1" ht="15.75">
      <c r="A368" s="76" t="s">
        <v>214</v>
      </c>
      <c r="B368" s="19" t="s">
        <v>35</v>
      </c>
      <c r="C368" s="19" t="s">
        <v>6</v>
      </c>
      <c r="D368" s="19" t="s">
        <v>167</v>
      </c>
      <c r="E368" s="54" t="s">
        <v>212</v>
      </c>
      <c r="F368" s="14"/>
      <c r="G368" s="15">
        <f>0.4+0.015+0.012+0.012</f>
        <v>0.43900000000000006</v>
      </c>
      <c r="H368" s="15"/>
      <c r="I368" s="15"/>
    </row>
    <row r="369" spans="1:9" s="3" customFormat="1" ht="126">
      <c r="A369" s="77" t="s">
        <v>311</v>
      </c>
      <c r="B369" s="19" t="s">
        <v>35</v>
      </c>
      <c r="C369" s="19" t="s">
        <v>6</v>
      </c>
      <c r="D369" s="19" t="s">
        <v>168</v>
      </c>
      <c r="E369" s="19"/>
      <c r="F369" s="14"/>
      <c r="G369" s="15">
        <f>G370</f>
        <v>3871</v>
      </c>
      <c r="H369" s="15">
        <f>H370</f>
        <v>5083</v>
      </c>
      <c r="I369" s="15">
        <f>I370</f>
        <v>5200</v>
      </c>
    </row>
    <row r="370" spans="1:9" s="3" customFormat="1" ht="31.5">
      <c r="A370" s="50" t="s">
        <v>108</v>
      </c>
      <c r="B370" s="19" t="s">
        <v>35</v>
      </c>
      <c r="C370" s="19" t="s">
        <v>6</v>
      </c>
      <c r="D370" s="19" t="s">
        <v>169</v>
      </c>
      <c r="E370" s="19"/>
      <c r="F370" s="14"/>
      <c r="G370" s="15">
        <f>G371+G372</f>
        <v>3871</v>
      </c>
      <c r="H370" s="15">
        <f>H371+H372</f>
        <v>5083</v>
      </c>
      <c r="I370" s="15">
        <f>I371+I372</f>
        <v>5200</v>
      </c>
    </row>
    <row r="371" spans="1:9" s="3" customFormat="1" ht="81" customHeight="1">
      <c r="A371" s="61" t="s">
        <v>83</v>
      </c>
      <c r="B371" s="19" t="s">
        <v>35</v>
      </c>
      <c r="C371" s="19" t="s">
        <v>6</v>
      </c>
      <c r="D371" s="19" t="s">
        <v>169</v>
      </c>
      <c r="E371" s="19" t="s">
        <v>62</v>
      </c>
      <c r="F371" s="14">
        <f>F373</f>
        <v>280</v>
      </c>
      <c r="G371" s="15">
        <f>4000-300-34+155+30+20</f>
        <v>3871</v>
      </c>
      <c r="H371" s="15">
        <v>5083</v>
      </c>
      <c r="I371" s="15">
        <v>5200</v>
      </c>
    </row>
    <row r="372" spans="1:9" s="3" customFormat="1" ht="31.5" hidden="1">
      <c r="A372" s="61" t="s">
        <v>64</v>
      </c>
      <c r="B372" s="19" t="s">
        <v>35</v>
      </c>
      <c r="C372" s="19" t="s">
        <v>6</v>
      </c>
      <c r="D372" s="19" t="s">
        <v>169</v>
      </c>
      <c r="E372" s="19" t="s">
        <v>63</v>
      </c>
      <c r="F372" s="14">
        <f>F373</f>
        <v>280</v>
      </c>
      <c r="G372" s="15">
        <f>155-155</f>
        <v>0</v>
      </c>
      <c r="H372" s="15"/>
      <c r="I372" s="15"/>
    </row>
    <row r="373" spans="1:9" s="3" customFormat="1" ht="63">
      <c r="A373" s="77" t="s">
        <v>310</v>
      </c>
      <c r="B373" s="19" t="s">
        <v>35</v>
      </c>
      <c r="C373" s="19" t="s">
        <v>6</v>
      </c>
      <c r="D373" s="19" t="s">
        <v>170</v>
      </c>
      <c r="E373" s="19"/>
      <c r="F373" s="14">
        <v>280</v>
      </c>
      <c r="G373" s="15">
        <f>G374</f>
        <v>1683.6</v>
      </c>
      <c r="H373" s="15">
        <f>H374</f>
        <v>1612.2</v>
      </c>
      <c r="I373" s="15">
        <f>I374</f>
        <v>1688</v>
      </c>
    </row>
    <row r="374" spans="1:9" s="3" customFormat="1" ht="31.5">
      <c r="A374" s="50" t="s">
        <v>225</v>
      </c>
      <c r="B374" s="19" t="s">
        <v>35</v>
      </c>
      <c r="C374" s="19" t="s">
        <v>6</v>
      </c>
      <c r="D374" s="19" t="s">
        <v>171</v>
      </c>
      <c r="E374" s="19"/>
      <c r="F374" s="14"/>
      <c r="G374" s="15">
        <f>G375+G376+G378+G380+G377+G379+G381</f>
        <v>1683.6</v>
      </c>
      <c r="H374" s="15">
        <f>H375+H376+H378+H380+H377+H379+H381</f>
        <v>1612.2</v>
      </c>
      <c r="I374" s="15">
        <f>I375+I376+I378+I380+I377+I379+I381</f>
        <v>1688</v>
      </c>
    </row>
    <row r="375" spans="1:9" s="3" customFormat="1" ht="15.75">
      <c r="A375" s="65" t="s">
        <v>188</v>
      </c>
      <c r="B375" s="19" t="s">
        <v>35</v>
      </c>
      <c r="C375" s="19" t="s">
        <v>6</v>
      </c>
      <c r="D375" s="19" t="s">
        <v>171</v>
      </c>
      <c r="E375" s="19" t="s">
        <v>84</v>
      </c>
      <c r="F375" s="14"/>
      <c r="G375" s="15">
        <f>1127.5+85-14.585</f>
        <v>1197.915</v>
      </c>
      <c r="H375" s="15">
        <v>1127.5</v>
      </c>
      <c r="I375" s="15">
        <v>1127.5</v>
      </c>
    </row>
    <row r="376" spans="1:9" s="3" customFormat="1" ht="47.25">
      <c r="A376" s="65" t="s">
        <v>81</v>
      </c>
      <c r="B376" s="19" t="s">
        <v>35</v>
      </c>
      <c r="C376" s="19" t="s">
        <v>6</v>
      </c>
      <c r="D376" s="19" t="s">
        <v>171</v>
      </c>
      <c r="E376" s="19" t="s">
        <v>65</v>
      </c>
      <c r="F376" s="14"/>
      <c r="G376" s="15">
        <f>0.6-0.01</f>
        <v>0.59</v>
      </c>
      <c r="H376" s="15"/>
      <c r="I376" s="15"/>
    </row>
    <row r="377" spans="1:9" s="3" customFormat="1" ht="63">
      <c r="A377" s="39" t="s">
        <v>189</v>
      </c>
      <c r="B377" s="19" t="s">
        <v>35</v>
      </c>
      <c r="C377" s="19" t="s">
        <v>6</v>
      </c>
      <c r="D377" s="19" t="s">
        <v>171</v>
      </c>
      <c r="E377" s="19" t="s">
        <v>149</v>
      </c>
      <c r="F377" s="14"/>
      <c r="G377" s="15">
        <f>340.5-0.002-0.083-0.402-0.524</f>
        <v>339.489</v>
      </c>
      <c r="H377" s="15">
        <v>340.5</v>
      </c>
      <c r="I377" s="15">
        <v>340.5</v>
      </c>
    </row>
    <row r="378" spans="1:9" s="3" customFormat="1" ht="47.25">
      <c r="A378" s="65" t="s">
        <v>74</v>
      </c>
      <c r="B378" s="19" t="s">
        <v>35</v>
      </c>
      <c r="C378" s="19" t="s">
        <v>6</v>
      </c>
      <c r="D378" s="19" t="s">
        <v>171</v>
      </c>
      <c r="E378" s="54" t="s">
        <v>73</v>
      </c>
      <c r="F378" s="14"/>
      <c r="G378" s="15">
        <f>130-0.542-0.52-1.121+14.53</f>
        <v>142.34699999999998</v>
      </c>
      <c r="H378" s="15">
        <v>144.2</v>
      </c>
      <c r="I378" s="15">
        <v>220</v>
      </c>
    </row>
    <row r="379" spans="1:9" s="3" customFormat="1" ht="47.25" hidden="1">
      <c r="A379" s="76" t="s">
        <v>102</v>
      </c>
      <c r="B379" s="19" t="s">
        <v>35</v>
      </c>
      <c r="C379" s="19" t="s">
        <v>6</v>
      </c>
      <c r="D379" s="19" t="s">
        <v>171</v>
      </c>
      <c r="E379" s="54" t="s">
        <v>100</v>
      </c>
      <c r="F379" s="14"/>
      <c r="G379" s="15"/>
      <c r="H379" s="15"/>
      <c r="I379" s="15"/>
    </row>
    <row r="380" spans="1:9" s="3" customFormat="1" ht="31.5" hidden="1">
      <c r="A380" s="76" t="s">
        <v>82</v>
      </c>
      <c r="B380" s="19" t="s">
        <v>35</v>
      </c>
      <c r="C380" s="19" t="s">
        <v>6</v>
      </c>
      <c r="D380" s="19" t="s">
        <v>171</v>
      </c>
      <c r="E380" s="54" t="s">
        <v>85</v>
      </c>
      <c r="F380" s="14"/>
      <c r="G380" s="15"/>
      <c r="H380" s="15"/>
      <c r="I380" s="15"/>
    </row>
    <row r="381" spans="1:9" s="3" customFormat="1" ht="15.75">
      <c r="A381" s="76" t="s">
        <v>214</v>
      </c>
      <c r="B381" s="19" t="s">
        <v>35</v>
      </c>
      <c r="C381" s="19" t="s">
        <v>6</v>
      </c>
      <c r="D381" s="19" t="s">
        <v>171</v>
      </c>
      <c r="E381" s="54" t="s">
        <v>212</v>
      </c>
      <c r="F381" s="14"/>
      <c r="G381" s="15">
        <f>0.002+0.542+0.083+0.402+0.524+0.52+1.121+0.055+0.01</f>
        <v>3.259</v>
      </c>
      <c r="H381" s="15"/>
      <c r="I381" s="15"/>
    </row>
    <row r="382" spans="1:9" s="3" customFormat="1" ht="31.5" hidden="1">
      <c r="A382" s="65" t="s">
        <v>76</v>
      </c>
      <c r="B382" s="24" t="s">
        <v>35</v>
      </c>
      <c r="C382" s="24" t="s">
        <v>6</v>
      </c>
      <c r="D382" s="24" t="s">
        <v>119</v>
      </c>
      <c r="E382" s="19"/>
      <c r="F382" s="14"/>
      <c r="G382" s="15">
        <f aca="true" t="shared" si="23" ref="G382:I383">G383</f>
        <v>0</v>
      </c>
      <c r="H382" s="15">
        <f t="shared" si="23"/>
        <v>0</v>
      </c>
      <c r="I382" s="15">
        <f t="shared" si="23"/>
        <v>0</v>
      </c>
    </row>
    <row r="383" spans="1:9" s="3" customFormat="1" ht="77.25" customHeight="1" hidden="1">
      <c r="A383" s="40" t="s">
        <v>91</v>
      </c>
      <c r="B383" s="19" t="s">
        <v>35</v>
      </c>
      <c r="C383" s="19" t="s">
        <v>6</v>
      </c>
      <c r="D383" s="19" t="s">
        <v>172</v>
      </c>
      <c r="E383" s="19"/>
      <c r="F383" s="14"/>
      <c r="G383" s="15">
        <f t="shared" si="23"/>
        <v>0</v>
      </c>
      <c r="H383" s="15">
        <f t="shared" si="23"/>
        <v>0</v>
      </c>
      <c r="I383" s="15">
        <f t="shared" si="23"/>
        <v>0</v>
      </c>
    </row>
    <row r="384" spans="1:9" s="3" customFormat="1" ht="47.25" hidden="1">
      <c r="A384" s="32" t="s">
        <v>74</v>
      </c>
      <c r="B384" s="19" t="s">
        <v>35</v>
      </c>
      <c r="C384" s="19" t="s">
        <v>6</v>
      </c>
      <c r="D384" s="19" t="s">
        <v>172</v>
      </c>
      <c r="E384" s="19" t="s">
        <v>73</v>
      </c>
      <c r="F384" s="14"/>
      <c r="G384" s="15"/>
      <c r="H384" s="15"/>
      <c r="I384" s="15"/>
    </row>
    <row r="385" spans="1:9" s="56" customFormat="1" ht="15.75">
      <c r="A385" s="34" t="s">
        <v>40</v>
      </c>
      <c r="B385" s="9" t="s">
        <v>39</v>
      </c>
      <c r="C385" s="9"/>
      <c r="D385" s="9"/>
      <c r="E385" s="9"/>
      <c r="F385" s="11" t="e">
        <f>F390+F406+#REF!</f>
        <v>#REF!</v>
      </c>
      <c r="G385" s="12">
        <f>G386+G390+G406+G414</f>
        <v>30649.999999999996</v>
      </c>
      <c r="H385" s="12">
        <f>H386+H390+H406+H414</f>
        <v>19778.8</v>
      </c>
      <c r="I385" s="12">
        <f>I386+I390+I406+I414</f>
        <v>19778.8</v>
      </c>
    </row>
    <row r="386" spans="1:9" s="56" customFormat="1" ht="15.75">
      <c r="A386" s="42" t="s">
        <v>52</v>
      </c>
      <c r="B386" s="13" t="s">
        <v>39</v>
      </c>
      <c r="C386" s="13" t="s">
        <v>6</v>
      </c>
      <c r="D386" s="13"/>
      <c r="E386" s="13"/>
      <c r="F386" s="11" t="e">
        <f>F389+#REF!+#REF!+#REF!+#REF!+#REF!</f>
        <v>#REF!</v>
      </c>
      <c r="G386" s="12">
        <f aca="true" t="shared" si="24" ref="G386:I388">G387</f>
        <v>1211</v>
      </c>
      <c r="H386" s="12">
        <f t="shared" si="24"/>
        <v>905</v>
      </c>
      <c r="I386" s="12">
        <f t="shared" si="24"/>
        <v>905</v>
      </c>
    </row>
    <row r="387" spans="1:9" s="56" customFormat="1" ht="31.5">
      <c r="A387" s="65" t="s">
        <v>76</v>
      </c>
      <c r="B387" s="24" t="s">
        <v>39</v>
      </c>
      <c r="C387" s="24" t="s">
        <v>6</v>
      </c>
      <c r="D387" s="24" t="s">
        <v>119</v>
      </c>
      <c r="E387" s="24"/>
      <c r="F387" s="11"/>
      <c r="G387" s="26">
        <f t="shared" si="24"/>
        <v>1211</v>
      </c>
      <c r="H387" s="26">
        <f t="shared" si="24"/>
        <v>905</v>
      </c>
      <c r="I387" s="26">
        <f t="shared" si="24"/>
        <v>905</v>
      </c>
    </row>
    <row r="388" spans="1:9" s="3" customFormat="1" ht="47.25">
      <c r="A388" s="51" t="s">
        <v>51</v>
      </c>
      <c r="B388" s="24" t="s">
        <v>39</v>
      </c>
      <c r="C388" s="24" t="s">
        <v>6</v>
      </c>
      <c r="D388" s="10" t="s">
        <v>173</v>
      </c>
      <c r="E388" s="10"/>
      <c r="F388" s="14">
        <f>F389</f>
        <v>3536</v>
      </c>
      <c r="G388" s="15">
        <f t="shared" si="24"/>
        <v>1211</v>
      </c>
      <c r="H388" s="15">
        <f t="shared" si="24"/>
        <v>905</v>
      </c>
      <c r="I388" s="15">
        <f t="shared" si="24"/>
        <v>905</v>
      </c>
    </row>
    <row r="389" spans="1:9" s="3" customFormat="1" ht="31.5">
      <c r="A389" s="50" t="s">
        <v>93</v>
      </c>
      <c r="B389" s="24" t="s">
        <v>39</v>
      </c>
      <c r="C389" s="24" t="s">
        <v>6</v>
      </c>
      <c r="D389" s="10" t="s">
        <v>173</v>
      </c>
      <c r="E389" s="10" t="s">
        <v>94</v>
      </c>
      <c r="F389" s="14">
        <v>3536</v>
      </c>
      <c r="G389" s="15">
        <f>905+306</f>
        <v>1211</v>
      </c>
      <c r="H389" s="15">
        <v>905</v>
      </c>
      <c r="I389" s="15">
        <v>905</v>
      </c>
    </row>
    <row r="390" spans="1:9" s="56" customFormat="1" ht="15.75">
      <c r="A390" s="37" t="s">
        <v>41</v>
      </c>
      <c r="B390" s="13" t="s">
        <v>39</v>
      </c>
      <c r="C390" s="13" t="s">
        <v>9</v>
      </c>
      <c r="D390" s="13"/>
      <c r="E390" s="13"/>
      <c r="F390" s="11" t="e">
        <f>#REF!+#REF!+#REF!+#REF!+#REF!+#REF!</f>
        <v>#REF!</v>
      </c>
      <c r="G390" s="12">
        <f>G391</f>
        <v>20938.809999999998</v>
      </c>
      <c r="H390" s="12">
        <f>H391</f>
        <v>12255.2</v>
      </c>
      <c r="I390" s="12">
        <f>I391</f>
        <v>12255.2</v>
      </c>
    </row>
    <row r="391" spans="1:9" s="3" customFormat="1" ht="31.5">
      <c r="A391" s="65" t="s">
        <v>76</v>
      </c>
      <c r="B391" s="24" t="s">
        <v>39</v>
      </c>
      <c r="C391" s="24" t="s">
        <v>9</v>
      </c>
      <c r="D391" s="24" t="s">
        <v>119</v>
      </c>
      <c r="E391" s="24"/>
      <c r="F391" s="14"/>
      <c r="G391" s="15">
        <f>G396+G398+G394+G404+G392</f>
        <v>20938.809999999998</v>
      </c>
      <c r="H391" s="15">
        <f>H396+H398+H394+H404+H392</f>
        <v>12255.2</v>
      </c>
      <c r="I391" s="15">
        <f>I396+I398+I394+I404+I392</f>
        <v>12255.2</v>
      </c>
    </row>
    <row r="392" spans="1:9" s="3" customFormat="1" ht="63">
      <c r="A392" s="65" t="s">
        <v>344</v>
      </c>
      <c r="B392" s="24" t="s">
        <v>39</v>
      </c>
      <c r="C392" s="24" t="s">
        <v>9</v>
      </c>
      <c r="D392" s="24" t="s">
        <v>343</v>
      </c>
      <c r="E392" s="24"/>
      <c r="F392" s="14"/>
      <c r="G392" s="15">
        <f>G393</f>
        <v>348</v>
      </c>
      <c r="H392" s="15">
        <f>H393</f>
        <v>0</v>
      </c>
      <c r="I392" s="15">
        <f>I393</f>
        <v>0</v>
      </c>
    </row>
    <row r="393" spans="1:9" s="3" customFormat="1" ht="47.25">
      <c r="A393" s="65" t="s">
        <v>102</v>
      </c>
      <c r="B393" s="24" t="s">
        <v>39</v>
      </c>
      <c r="C393" s="24" t="s">
        <v>9</v>
      </c>
      <c r="D393" s="24" t="s">
        <v>343</v>
      </c>
      <c r="E393" s="24" t="s">
        <v>100</v>
      </c>
      <c r="F393" s="14"/>
      <c r="G393" s="15">
        <v>348</v>
      </c>
      <c r="H393" s="15"/>
      <c r="I393" s="15"/>
    </row>
    <row r="394" spans="1:9" s="56" customFormat="1" ht="110.25">
      <c r="A394" s="50" t="s">
        <v>302</v>
      </c>
      <c r="B394" s="23" t="s">
        <v>39</v>
      </c>
      <c r="C394" s="23" t="s">
        <v>9</v>
      </c>
      <c r="D394" s="23" t="s">
        <v>174</v>
      </c>
      <c r="E394" s="23"/>
      <c r="F394" s="28"/>
      <c r="G394" s="26">
        <f>G395</f>
        <v>2900</v>
      </c>
      <c r="H394" s="26">
        <f>H395</f>
        <v>1921.6</v>
      </c>
      <c r="I394" s="26">
        <f>I395</f>
        <v>1921.6</v>
      </c>
    </row>
    <row r="395" spans="1:9" s="56" customFormat="1" ht="47.25">
      <c r="A395" s="67" t="s">
        <v>95</v>
      </c>
      <c r="B395" s="23" t="s">
        <v>39</v>
      </c>
      <c r="C395" s="23" t="s">
        <v>9</v>
      </c>
      <c r="D395" s="23" t="s">
        <v>174</v>
      </c>
      <c r="E395" s="23" t="s">
        <v>96</v>
      </c>
      <c r="F395" s="28"/>
      <c r="G395" s="26">
        <f>1921.6+640.6+187.8+150</f>
        <v>2900</v>
      </c>
      <c r="H395" s="26">
        <v>1921.6</v>
      </c>
      <c r="I395" s="26">
        <v>1921.6</v>
      </c>
    </row>
    <row r="396" spans="1:9" s="3" customFormat="1" ht="141.75">
      <c r="A396" s="51" t="s">
        <v>303</v>
      </c>
      <c r="B396" s="24" t="s">
        <v>39</v>
      </c>
      <c r="C396" s="24" t="s">
        <v>9</v>
      </c>
      <c r="D396" s="24" t="s">
        <v>175</v>
      </c>
      <c r="E396" s="24"/>
      <c r="F396" s="14">
        <f>F397</f>
        <v>3536</v>
      </c>
      <c r="G396" s="15">
        <f>G397</f>
        <v>359.20000000000005</v>
      </c>
      <c r="H396" s="15">
        <f>H397</f>
        <v>205.6</v>
      </c>
      <c r="I396" s="15">
        <f>I397</f>
        <v>205.6</v>
      </c>
    </row>
    <row r="397" spans="1:9" s="3" customFormat="1" ht="47.25">
      <c r="A397" s="51" t="s">
        <v>95</v>
      </c>
      <c r="B397" s="24" t="s">
        <v>39</v>
      </c>
      <c r="C397" s="24" t="s">
        <v>9</v>
      </c>
      <c r="D397" s="24" t="s">
        <v>175</v>
      </c>
      <c r="E397" s="24" t="s">
        <v>96</v>
      </c>
      <c r="F397" s="14">
        <v>3536</v>
      </c>
      <c r="G397" s="15">
        <f>205.6+85.2+68.4</f>
        <v>359.20000000000005</v>
      </c>
      <c r="H397" s="15">
        <v>205.6</v>
      </c>
      <c r="I397" s="15">
        <v>205.6</v>
      </c>
    </row>
    <row r="398" spans="1:9" s="3" customFormat="1" ht="37.5" customHeight="1">
      <c r="A398" s="51" t="s">
        <v>304</v>
      </c>
      <c r="B398" s="24" t="s">
        <v>39</v>
      </c>
      <c r="C398" s="24" t="s">
        <v>9</v>
      </c>
      <c r="D398" s="24" t="s">
        <v>176</v>
      </c>
      <c r="E398" s="24"/>
      <c r="F398" s="14"/>
      <c r="G398" s="15">
        <f>G403+G402+G400+G399+G401</f>
        <v>17331.609999999997</v>
      </c>
      <c r="H398" s="15">
        <f>H403+H402+H400+H399+H401</f>
        <v>10128</v>
      </c>
      <c r="I398" s="15">
        <f>I403+I402+I400+I399+I401</f>
        <v>10128</v>
      </c>
    </row>
    <row r="399" spans="1:9" s="3" customFormat="1" ht="31.5" hidden="1">
      <c r="A399" s="40" t="s">
        <v>145</v>
      </c>
      <c r="B399" s="24" t="s">
        <v>39</v>
      </c>
      <c r="C399" s="24" t="s">
        <v>9</v>
      </c>
      <c r="D399" s="24" t="s">
        <v>176</v>
      </c>
      <c r="E399" s="24" t="s">
        <v>68</v>
      </c>
      <c r="F399" s="14"/>
      <c r="G399" s="26"/>
      <c r="H399" s="15"/>
      <c r="I399" s="15"/>
    </row>
    <row r="400" spans="1:9" s="3" customFormat="1" ht="48.75" customHeight="1" hidden="1">
      <c r="A400" s="40" t="s">
        <v>70</v>
      </c>
      <c r="B400" s="24" t="s">
        <v>39</v>
      </c>
      <c r="C400" s="24" t="s">
        <v>9</v>
      </c>
      <c r="D400" s="24" t="s">
        <v>176</v>
      </c>
      <c r="E400" s="24" t="s">
        <v>72</v>
      </c>
      <c r="F400" s="14"/>
      <c r="G400" s="26"/>
      <c r="H400" s="15"/>
      <c r="I400" s="15"/>
    </row>
    <row r="401" spans="1:9" s="3" customFormat="1" ht="48.75" customHeight="1" hidden="1">
      <c r="A401" s="40" t="s">
        <v>147</v>
      </c>
      <c r="B401" s="24" t="s">
        <v>39</v>
      </c>
      <c r="C401" s="24" t="s">
        <v>9</v>
      </c>
      <c r="D401" s="24" t="s">
        <v>176</v>
      </c>
      <c r="E401" s="24" t="s">
        <v>146</v>
      </c>
      <c r="F401" s="14"/>
      <c r="G401" s="26"/>
      <c r="H401" s="15"/>
      <c r="I401" s="15"/>
    </row>
    <row r="402" spans="1:9" s="3" customFormat="1" ht="48.75" customHeight="1">
      <c r="A402" s="32" t="s">
        <v>74</v>
      </c>
      <c r="B402" s="24" t="s">
        <v>39</v>
      </c>
      <c r="C402" s="24" t="s">
        <v>9</v>
      </c>
      <c r="D402" s="24" t="s">
        <v>176</v>
      </c>
      <c r="E402" s="24" t="s">
        <v>73</v>
      </c>
      <c r="F402" s="14"/>
      <c r="G402" s="26">
        <f>1128-930+30-54.035+70+12-70+10-19.912+52.7</f>
        <v>228.753</v>
      </c>
      <c r="H402" s="15">
        <f>1128-930</f>
        <v>198</v>
      </c>
      <c r="I402" s="15">
        <f>1128-930</f>
        <v>198</v>
      </c>
    </row>
    <row r="403" spans="1:9" s="3" customFormat="1" ht="47.25">
      <c r="A403" s="51" t="s">
        <v>95</v>
      </c>
      <c r="B403" s="24" t="s">
        <v>39</v>
      </c>
      <c r="C403" s="24" t="s">
        <v>9</v>
      </c>
      <c r="D403" s="24" t="s">
        <v>176</v>
      </c>
      <c r="E403" s="24" t="s">
        <v>96</v>
      </c>
      <c r="F403" s="14"/>
      <c r="G403" s="26">
        <f>9930+793.252+1958.3+54.035+2531.5+801.549-2601.5-100+70+834.135-460.561-168.388+3460.535</f>
        <v>17102.856999999996</v>
      </c>
      <c r="H403" s="26">
        <v>9930</v>
      </c>
      <c r="I403" s="26">
        <v>9930</v>
      </c>
    </row>
    <row r="404" spans="1:9" s="3" customFormat="1" ht="31.5" hidden="1">
      <c r="A404" s="61" t="s">
        <v>177</v>
      </c>
      <c r="B404" s="24" t="s">
        <v>39</v>
      </c>
      <c r="C404" s="24" t="s">
        <v>9</v>
      </c>
      <c r="D404" s="24" t="s">
        <v>178</v>
      </c>
      <c r="E404" s="24"/>
      <c r="F404" s="14"/>
      <c r="G404" s="15">
        <f>G405</f>
        <v>0</v>
      </c>
      <c r="H404" s="15">
        <f>H405</f>
        <v>0</v>
      </c>
      <c r="I404" s="15">
        <f>I405</f>
        <v>0</v>
      </c>
    </row>
    <row r="405" spans="1:9" s="3" customFormat="1" ht="47.25" hidden="1">
      <c r="A405" s="61" t="s">
        <v>102</v>
      </c>
      <c r="B405" s="24" t="s">
        <v>39</v>
      </c>
      <c r="C405" s="24" t="s">
        <v>9</v>
      </c>
      <c r="D405" s="24" t="s">
        <v>178</v>
      </c>
      <c r="E405" s="24" t="s">
        <v>100</v>
      </c>
      <c r="F405" s="14"/>
      <c r="G405" s="15"/>
      <c r="H405" s="15"/>
      <c r="I405" s="15"/>
    </row>
    <row r="406" spans="1:9" s="3" customFormat="1" ht="15.75">
      <c r="A406" s="34" t="s">
        <v>46</v>
      </c>
      <c r="B406" s="9" t="s">
        <v>39</v>
      </c>
      <c r="C406" s="9" t="s">
        <v>11</v>
      </c>
      <c r="D406" s="9"/>
      <c r="E406" s="9"/>
      <c r="F406" s="11" t="e">
        <f>F408+#REF!</f>
        <v>#REF!</v>
      </c>
      <c r="G406" s="12">
        <f>G407</f>
        <v>6765.1</v>
      </c>
      <c r="H406" s="12">
        <f>H407</f>
        <v>4991.599999999999</v>
      </c>
      <c r="I406" s="12">
        <f>I407</f>
        <v>4991.599999999999</v>
      </c>
    </row>
    <row r="407" spans="1:9" s="3" customFormat="1" ht="31.5">
      <c r="A407" s="32" t="s">
        <v>76</v>
      </c>
      <c r="B407" s="19" t="s">
        <v>39</v>
      </c>
      <c r="C407" s="19" t="s">
        <v>11</v>
      </c>
      <c r="D407" s="19" t="s">
        <v>119</v>
      </c>
      <c r="E407" s="19"/>
      <c r="F407" s="14"/>
      <c r="G407" s="15">
        <f>G410+G412+G408</f>
        <v>6765.1</v>
      </c>
      <c r="H407" s="15">
        <f>H410+H412+H408</f>
        <v>4991.599999999999</v>
      </c>
      <c r="I407" s="15">
        <f>I410+I412+I408</f>
        <v>4991.599999999999</v>
      </c>
    </row>
    <row r="408" spans="1:9" s="3" customFormat="1" ht="110.25">
      <c r="A408" s="50" t="s">
        <v>305</v>
      </c>
      <c r="B408" s="19" t="s">
        <v>39</v>
      </c>
      <c r="C408" s="19" t="s">
        <v>11</v>
      </c>
      <c r="D408" s="19" t="s">
        <v>179</v>
      </c>
      <c r="E408" s="19"/>
      <c r="F408" s="14">
        <f>F409</f>
        <v>2455</v>
      </c>
      <c r="G408" s="15">
        <f>G409</f>
        <v>695</v>
      </c>
      <c r="H408" s="15">
        <f>H409</f>
        <v>665.7</v>
      </c>
      <c r="I408" s="15">
        <f>I409</f>
        <v>665.7</v>
      </c>
    </row>
    <row r="409" spans="1:9" s="3" customFormat="1" ht="47.25">
      <c r="A409" s="67" t="s">
        <v>95</v>
      </c>
      <c r="B409" s="19" t="s">
        <v>39</v>
      </c>
      <c r="C409" s="19" t="s">
        <v>11</v>
      </c>
      <c r="D409" s="19" t="s">
        <v>179</v>
      </c>
      <c r="E409" s="19" t="s">
        <v>96</v>
      </c>
      <c r="F409" s="14">
        <v>2455</v>
      </c>
      <c r="G409" s="15">
        <f>665.7+221.9+94.9-287.5</f>
        <v>695</v>
      </c>
      <c r="H409" s="15">
        <v>665.7</v>
      </c>
      <c r="I409" s="15">
        <v>665.7</v>
      </c>
    </row>
    <row r="410" spans="1:9" s="3" customFormat="1" ht="31.5">
      <c r="A410" s="50" t="s">
        <v>306</v>
      </c>
      <c r="B410" s="19" t="s">
        <v>39</v>
      </c>
      <c r="C410" s="19" t="s">
        <v>11</v>
      </c>
      <c r="D410" s="19" t="s">
        <v>180</v>
      </c>
      <c r="E410" s="19"/>
      <c r="F410" s="14" t="e">
        <f>#REF!</f>
        <v>#REF!</v>
      </c>
      <c r="G410" s="15">
        <f>G411</f>
        <v>4377</v>
      </c>
      <c r="H410" s="15">
        <f>H411</f>
        <v>3011.7</v>
      </c>
      <c r="I410" s="15">
        <f>I411</f>
        <v>3011.7</v>
      </c>
    </row>
    <row r="411" spans="1:9" s="3" customFormat="1" ht="47.25">
      <c r="A411" s="67" t="s">
        <v>95</v>
      </c>
      <c r="B411" s="19" t="s">
        <v>39</v>
      </c>
      <c r="C411" s="19" t="s">
        <v>11</v>
      </c>
      <c r="D411" s="19" t="s">
        <v>180</v>
      </c>
      <c r="E411" s="19" t="s">
        <v>96</v>
      </c>
      <c r="F411" s="14"/>
      <c r="G411" s="15">
        <f>3011.7+1003.9+6.4+355</f>
        <v>4377</v>
      </c>
      <c r="H411" s="15">
        <v>3011.7</v>
      </c>
      <c r="I411" s="15">
        <v>3011.7</v>
      </c>
    </row>
    <row r="412" spans="1:9" s="3" customFormat="1" ht="63">
      <c r="A412" s="66" t="s">
        <v>307</v>
      </c>
      <c r="B412" s="19" t="s">
        <v>39</v>
      </c>
      <c r="C412" s="19" t="s">
        <v>11</v>
      </c>
      <c r="D412" s="19" t="s">
        <v>181</v>
      </c>
      <c r="E412" s="19"/>
      <c r="F412" s="14">
        <v>2455</v>
      </c>
      <c r="G412" s="15">
        <f>G413</f>
        <v>1693.1000000000001</v>
      </c>
      <c r="H412" s="15">
        <f>H413</f>
        <v>1314.2</v>
      </c>
      <c r="I412" s="15">
        <f>I413</f>
        <v>1314.2</v>
      </c>
    </row>
    <row r="413" spans="1:9" s="3" customFormat="1" ht="47.25">
      <c r="A413" s="32" t="s">
        <v>228</v>
      </c>
      <c r="B413" s="19" t="s">
        <v>39</v>
      </c>
      <c r="C413" s="19" t="s">
        <v>11</v>
      </c>
      <c r="D413" s="19" t="s">
        <v>181</v>
      </c>
      <c r="E413" s="19" t="s">
        <v>229</v>
      </c>
      <c r="F413" s="14" t="e">
        <f>#REF!</f>
        <v>#REF!</v>
      </c>
      <c r="G413" s="15">
        <f>1314.2+438.1-832.3+135+164+161.3+162.7+150.1</f>
        <v>1693.1000000000001</v>
      </c>
      <c r="H413" s="15">
        <v>1314.2</v>
      </c>
      <c r="I413" s="15">
        <v>1314.2</v>
      </c>
    </row>
    <row r="414" spans="1:9" s="56" customFormat="1" ht="31.5">
      <c r="A414" s="42" t="s">
        <v>258</v>
      </c>
      <c r="B414" s="27" t="s">
        <v>39</v>
      </c>
      <c r="C414" s="27" t="s">
        <v>26</v>
      </c>
      <c r="D414" s="27"/>
      <c r="E414" s="27"/>
      <c r="F414" s="28"/>
      <c r="G414" s="29">
        <f>G421+G415</f>
        <v>1735.09</v>
      </c>
      <c r="H414" s="29">
        <f>H421+H415</f>
        <v>1627</v>
      </c>
      <c r="I414" s="29">
        <f>I421+I415</f>
        <v>1627</v>
      </c>
    </row>
    <row r="415" spans="1:9" s="56" customFormat="1" ht="78.75">
      <c r="A415" s="37" t="s">
        <v>331</v>
      </c>
      <c r="B415" s="19" t="s">
        <v>39</v>
      </c>
      <c r="C415" s="19" t="s">
        <v>26</v>
      </c>
      <c r="D415" s="19" t="s">
        <v>121</v>
      </c>
      <c r="E415" s="9"/>
      <c r="F415" s="28"/>
      <c r="G415" s="26">
        <f aca="true" t="shared" si="25" ref="G415:I417">G416</f>
        <v>67.6</v>
      </c>
      <c r="H415" s="29">
        <f t="shared" si="25"/>
        <v>0</v>
      </c>
      <c r="I415" s="29">
        <f t="shared" si="25"/>
        <v>0</v>
      </c>
    </row>
    <row r="416" spans="1:9" s="56" customFormat="1" ht="78.75">
      <c r="A416" s="40" t="s">
        <v>332</v>
      </c>
      <c r="B416" s="19" t="s">
        <v>39</v>
      </c>
      <c r="C416" s="19" t="s">
        <v>26</v>
      </c>
      <c r="D416" s="19" t="s">
        <v>333</v>
      </c>
      <c r="E416" s="23"/>
      <c r="F416" s="28"/>
      <c r="G416" s="26">
        <f t="shared" si="25"/>
        <v>67.6</v>
      </c>
      <c r="H416" s="29">
        <f t="shared" si="25"/>
        <v>0</v>
      </c>
      <c r="I416" s="29">
        <f t="shared" si="25"/>
        <v>0</v>
      </c>
    </row>
    <row r="417" spans="1:9" s="56" customFormat="1" ht="78.75">
      <c r="A417" s="40" t="s">
        <v>335</v>
      </c>
      <c r="B417" s="19" t="s">
        <v>39</v>
      </c>
      <c r="C417" s="19" t="s">
        <v>26</v>
      </c>
      <c r="D417" s="19" t="s">
        <v>334</v>
      </c>
      <c r="E417" s="23"/>
      <c r="F417" s="28"/>
      <c r="G417" s="26">
        <f t="shared" si="25"/>
        <v>67.6</v>
      </c>
      <c r="H417" s="29">
        <f t="shared" si="25"/>
        <v>0</v>
      </c>
      <c r="I417" s="29">
        <f t="shared" si="25"/>
        <v>0</v>
      </c>
    </row>
    <row r="418" spans="1:9" s="56" customFormat="1" ht="110.25">
      <c r="A418" s="40" t="s">
        <v>337</v>
      </c>
      <c r="B418" s="19" t="s">
        <v>39</v>
      </c>
      <c r="C418" s="19" t="s">
        <v>26</v>
      </c>
      <c r="D418" s="19" t="s">
        <v>336</v>
      </c>
      <c r="E418" s="23"/>
      <c r="F418" s="28"/>
      <c r="G418" s="26">
        <f>G419+G420</f>
        <v>67.6</v>
      </c>
      <c r="H418" s="29">
        <f>H419+H420</f>
        <v>0</v>
      </c>
      <c r="I418" s="29">
        <f>I419+I420</f>
        <v>0</v>
      </c>
    </row>
    <row r="419" spans="1:9" s="56" customFormat="1" ht="47.25">
      <c r="A419" s="32" t="s">
        <v>74</v>
      </c>
      <c r="B419" s="19" t="s">
        <v>39</v>
      </c>
      <c r="C419" s="19" t="s">
        <v>26</v>
      </c>
      <c r="D419" s="19" t="s">
        <v>336</v>
      </c>
      <c r="E419" s="23" t="s">
        <v>73</v>
      </c>
      <c r="F419" s="28"/>
      <c r="G419" s="26">
        <v>17.08</v>
      </c>
      <c r="H419" s="29"/>
      <c r="I419" s="29"/>
    </row>
    <row r="420" spans="1:9" s="56" customFormat="1" ht="31.5">
      <c r="A420" s="67" t="s">
        <v>64</v>
      </c>
      <c r="B420" s="19" t="s">
        <v>39</v>
      </c>
      <c r="C420" s="19" t="s">
        <v>26</v>
      </c>
      <c r="D420" s="19" t="s">
        <v>336</v>
      </c>
      <c r="E420" s="23" t="s">
        <v>63</v>
      </c>
      <c r="F420" s="28"/>
      <c r="G420" s="26">
        <v>50.52</v>
      </c>
      <c r="H420" s="29"/>
      <c r="I420" s="29"/>
    </row>
    <row r="421" spans="1:9" s="3" customFormat="1" ht="31.5">
      <c r="A421" s="51" t="s">
        <v>304</v>
      </c>
      <c r="B421" s="24" t="s">
        <v>39</v>
      </c>
      <c r="C421" s="24" t="s">
        <v>26</v>
      </c>
      <c r="D421" s="24" t="s">
        <v>176</v>
      </c>
      <c r="E421" s="24"/>
      <c r="F421" s="14"/>
      <c r="G421" s="15">
        <f>G422+G423+G424+G425</f>
        <v>1667.49</v>
      </c>
      <c r="H421" s="15">
        <f>H422+H423+H424+H425</f>
        <v>1627</v>
      </c>
      <c r="I421" s="15">
        <f>I422+I423+I424+I425</f>
        <v>1627</v>
      </c>
    </row>
    <row r="422" spans="1:9" s="3" customFormat="1" ht="31.5">
      <c r="A422" s="40" t="s">
        <v>145</v>
      </c>
      <c r="B422" s="24" t="s">
        <v>39</v>
      </c>
      <c r="C422" s="24" t="s">
        <v>26</v>
      </c>
      <c r="D422" s="24" t="s">
        <v>176</v>
      </c>
      <c r="E422" s="24" t="s">
        <v>68</v>
      </c>
      <c r="F422" s="14"/>
      <c r="G422" s="15">
        <f>535+55+100</f>
        <v>690</v>
      </c>
      <c r="H422" s="15">
        <v>535</v>
      </c>
      <c r="I422" s="15">
        <v>535</v>
      </c>
    </row>
    <row r="423" spans="1:9" s="3" customFormat="1" ht="45.75" customHeight="1" hidden="1">
      <c r="A423" s="40" t="s">
        <v>70</v>
      </c>
      <c r="B423" s="24" t="s">
        <v>39</v>
      </c>
      <c r="C423" s="24" t="s">
        <v>9</v>
      </c>
      <c r="D423" s="24" t="s">
        <v>176</v>
      </c>
      <c r="E423" s="24" t="s">
        <v>72</v>
      </c>
      <c r="F423" s="14"/>
      <c r="G423" s="15"/>
      <c r="H423" s="15"/>
      <c r="I423" s="15"/>
    </row>
    <row r="424" spans="1:9" s="3" customFormat="1" ht="63.75" customHeight="1">
      <c r="A424" s="40" t="s">
        <v>147</v>
      </c>
      <c r="B424" s="24" t="s">
        <v>39</v>
      </c>
      <c r="C424" s="24" t="s">
        <v>26</v>
      </c>
      <c r="D424" s="24" t="s">
        <v>176</v>
      </c>
      <c r="E424" s="24" t="s">
        <v>146</v>
      </c>
      <c r="F424" s="14"/>
      <c r="G424" s="15">
        <f>162+6+20</f>
        <v>188</v>
      </c>
      <c r="H424" s="15">
        <v>162</v>
      </c>
      <c r="I424" s="15">
        <v>162</v>
      </c>
    </row>
    <row r="425" spans="1:9" s="3" customFormat="1" ht="47.25">
      <c r="A425" s="32" t="s">
        <v>74</v>
      </c>
      <c r="B425" s="24" t="s">
        <v>39</v>
      </c>
      <c r="C425" s="24" t="s">
        <v>26</v>
      </c>
      <c r="D425" s="24" t="s">
        <v>176</v>
      </c>
      <c r="E425" s="24" t="s">
        <v>73</v>
      </c>
      <c r="F425" s="14"/>
      <c r="G425" s="15">
        <f>930-793.252+216.916+555.826-120</f>
        <v>789.49</v>
      </c>
      <c r="H425" s="15">
        <v>930</v>
      </c>
      <c r="I425" s="15">
        <v>930</v>
      </c>
    </row>
    <row r="426" spans="1:9" s="56" customFormat="1" ht="15.75">
      <c r="A426" s="37" t="s">
        <v>38</v>
      </c>
      <c r="B426" s="13" t="s">
        <v>13</v>
      </c>
      <c r="C426" s="13"/>
      <c r="D426" s="13"/>
      <c r="E426" s="13"/>
      <c r="F426" s="11" t="e">
        <f>F427+#REF!+#REF!</f>
        <v>#REF!</v>
      </c>
      <c r="G426" s="12">
        <f aca="true" t="shared" si="26" ref="G426:I428">G427</f>
        <v>196.734</v>
      </c>
      <c r="H426" s="12">
        <f t="shared" si="26"/>
        <v>0</v>
      </c>
      <c r="I426" s="12">
        <f t="shared" si="26"/>
        <v>0</v>
      </c>
    </row>
    <row r="427" spans="1:9" s="56" customFormat="1" ht="19.5" customHeight="1">
      <c r="A427" s="37" t="s">
        <v>38</v>
      </c>
      <c r="B427" s="13" t="s">
        <v>13</v>
      </c>
      <c r="C427" s="13" t="s">
        <v>6</v>
      </c>
      <c r="D427" s="13"/>
      <c r="E427" s="13"/>
      <c r="F427" s="11" t="e">
        <f>F428+#REF!</f>
        <v>#REF!</v>
      </c>
      <c r="G427" s="12">
        <f t="shared" si="26"/>
        <v>196.734</v>
      </c>
      <c r="H427" s="12">
        <f t="shared" si="26"/>
        <v>0</v>
      </c>
      <c r="I427" s="12">
        <f t="shared" si="26"/>
        <v>0</v>
      </c>
    </row>
    <row r="428" spans="1:9" s="3" customFormat="1" ht="47.25">
      <c r="A428" s="81" t="s">
        <v>309</v>
      </c>
      <c r="B428" s="19" t="s">
        <v>13</v>
      </c>
      <c r="C428" s="19" t="s">
        <v>6</v>
      </c>
      <c r="D428" s="19" t="s">
        <v>182</v>
      </c>
      <c r="E428" s="19"/>
      <c r="F428" s="14" t="e">
        <f>#REF!</f>
        <v>#REF!</v>
      </c>
      <c r="G428" s="15">
        <f t="shared" si="26"/>
        <v>196.734</v>
      </c>
      <c r="H428" s="15">
        <f t="shared" si="26"/>
        <v>0</v>
      </c>
      <c r="I428" s="15">
        <f t="shared" si="26"/>
        <v>0</v>
      </c>
    </row>
    <row r="429" spans="1:9" s="3" customFormat="1" ht="31.5">
      <c r="A429" s="62" t="s">
        <v>97</v>
      </c>
      <c r="B429" s="19" t="s">
        <v>13</v>
      </c>
      <c r="C429" s="19" t="s">
        <v>6</v>
      </c>
      <c r="D429" s="19" t="s">
        <v>183</v>
      </c>
      <c r="E429" s="19"/>
      <c r="F429" s="14" t="e">
        <f>#REF!</f>
        <v>#REF!</v>
      </c>
      <c r="G429" s="15">
        <f>G433+G430+G434+G431+G432</f>
        <v>196.734</v>
      </c>
      <c r="H429" s="15">
        <f>H433+H430+H434+H431+H432</f>
        <v>0</v>
      </c>
      <c r="I429" s="15">
        <f>I433+I430+I434+I431+I432</f>
        <v>0</v>
      </c>
    </row>
    <row r="430" spans="1:9" s="3" customFormat="1" ht="63" hidden="1">
      <c r="A430" s="40" t="s">
        <v>218</v>
      </c>
      <c r="B430" s="19" t="s">
        <v>13</v>
      </c>
      <c r="C430" s="19" t="s">
        <v>6</v>
      </c>
      <c r="D430" s="19" t="s">
        <v>183</v>
      </c>
      <c r="E430" s="19" t="s">
        <v>217</v>
      </c>
      <c r="F430" s="14"/>
      <c r="G430" s="15"/>
      <c r="H430" s="15"/>
      <c r="I430" s="15"/>
    </row>
    <row r="431" spans="1:9" s="3" customFormat="1" ht="51.75" customHeight="1" hidden="1">
      <c r="A431" s="40" t="s">
        <v>70</v>
      </c>
      <c r="B431" s="19" t="s">
        <v>13</v>
      </c>
      <c r="C431" s="19" t="s">
        <v>6</v>
      </c>
      <c r="D431" s="19" t="s">
        <v>183</v>
      </c>
      <c r="E431" s="19" t="s">
        <v>72</v>
      </c>
      <c r="F431" s="14"/>
      <c r="G431" s="15"/>
      <c r="H431" s="15"/>
      <c r="I431" s="15"/>
    </row>
    <row r="432" spans="1:9" s="3" customFormat="1" ht="63">
      <c r="A432" s="65" t="s">
        <v>218</v>
      </c>
      <c r="B432" s="19" t="s">
        <v>13</v>
      </c>
      <c r="C432" s="19" t="s">
        <v>6</v>
      </c>
      <c r="D432" s="19" t="s">
        <v>183</v>
      </c>
      <c r="E432" s="10" t="s">
        <v>217</v>
      </c>
      <c r="F432" s="14"/>
      <c r="G432" s="15">
        <f>10+70+24.58+1+6.042+16.75</f>
        <v>128.372</v>
      </c>
      <c r="H432" s="15"/>
      <c r="I432" s="15"/>
    </row>
    <row r="433" spans="1:9" s="3" customFormat="1" ht="47.25">
      <c r="A433" s="65" t="s">
        <v>74</v>
      </c>
      <c r="B433" s="19" t="s">
        <v>13</v>
      </c>
      <c r="C433" s="19" t="s">
        <v>6</v>
      </c>
      <c r="D433" s="19" t="s">
        <v>183</v>
      </c>
      <c r="E433" s="19" t="s">
        <v>73</v>
      </c>
      <c r="F433" s="14" t="e">
        <f>#REF!</f>
        <v>#REF!</v>
      </c>
      <c r="G433" s="15">
        <f>200-10-70-24.58-1-3.266-6.042-16.75</f>
        <v>68.362</v>
      </c>
      <c r="H433" s="15"/>
      <c r="I433" s="15"/>
    </row>
    <row r="434" spans="1:9" s="3" customFormat="1" ht="15.75" hidden="1">
      <c r="A434" s="76" t="s">
        <v>233</v>
      </c>
      <c r="B434" s="19" t="s">
        <v>13</v>
      </c>
      <c r="C434" s="19" t="s">
        <v>6</v>
      </c>
      <c r="D434" s="19" t="s">
        <v>183</v>
      </c>
      <c r="E434" s="10" t="s">
        <v>232</v>
      </c>
      <c r="F434" s="14"/>
      <c r="G434" s="15"/>
      <c r="H434" s="15"/>
      <c r="I434" s="15"/>
    </row>
    <row r="435" spans="1:9" s="56" customFormat="1" ht="15.75">
      <c r="A435" s="42" t="s">
        <v>57</v>
      </c>
      <c r="B435" s="27" t="s">
        <v>16</v>
      </c>
      <c r="C435" s="27"/>
      <c r="D435" s="27"/>
      <c r="E435" s="27"/>
      <c r="F435" s="28"/>
      <c r="G435" s="29">
        <f aca="true" t="shared" si="27" ref="G435:I438">G436</f>
        <v>1716.255</v>
      </c>
      <c r="H435" s="29">
        <f t="shared" si="27"/>
        <v>300</v>
      </c>
      <c r="I435" s="29">
        <f t="shared" si="27"/>
        <v>300</v>
      </c>
    </row>
    <row r="436" spans="1:9" s="3" customFormat="1" ht="15.75">
      <c r="A436" s="42" t="s">
        <v>37</v>
      </c>
      <c r="B436" s="27" t="s">
        <v>16</v>
      </c>
      <c r="C436" s="27" t="s">
        <v>7</v>
      </c>
      <c r="D436" s="27"/>
      <c r="E436" s="27"/>
      <c r="F436" s="28"/>
      <c r="G436" s="29">
        <f t="shared" si="27"/>
        <v>1716.255</v>
      </c>
      <c r="H436" s="29">
        <f t="shared" si="27"/>
        <v>300</v>
      </c>
      <c r="I436" s="29">
        <f t="shared" si="27"/>
        <v>300</v>
      </c>
    </row>
    <row r="437" spans="1:9" s="57" customFormat="1" ht="31.5">
      <c r="A437" s="65" t="s">
        <v>76</v>
      </c>
      <c r="B437" s="19" t="s">
        <v>16</v>
      </c>
      <c r="C437" s="19" t="s">
        <v>7</v>
      </c>
      <c r="D437" s="19" t="s">
        <v>119</v>
      </c>
      <c r="E437" s="19"/>
      <c r="F437" s="25"/>
      <c r="G437" s="26">
        <f>G438+G440</f>
        <v>1716.255</v>
      </c>
      <c r="H437" s="26">
        <f>H438+H440</f>
        <v>300</v>
      </c>
      <c r="I437" s="26">
        <f>I438+I440</f>
        <v>300</v>
      </c>
    </row>
    <row r="438" spans="1:9" s="3" customFormat="1" ht="31.5">
      <c r="A438" s="67" t="s">
        <v>198</v>
      </c>
      <c r="B438" s="19" t="s">
        <v>16</v>
      </c>
      <c r="C438" s="19" t="s">
        <v>7</v>
      </c>
      <c r="D438" s="19" t="s">
        <v>199</v>
      </c>
      <c r="E438" s="19"/>
      <c r="F438" s="14"/>
      <c r="G438" s="15">
        <f t="shared" si="27"/>
        <v>550</v>
      </c>
      <c r="H438" s="15">
        <f t="shared" si="27"/>
        <v>300</v>
      </c>
      <c r="I438" s="15">
        <f t="shared" si="27"/>
        <v>300</v>
      </c>
    </row>
    <row r="439" spans="1:9" s="3" customFormat="1" ht="63">
      <c r="A439" s="50" t="s">
        <v>61</v>
      </c>
      <c r="B439" s="19" t="s">
        <v>16</v>
      </c>
      <c r="C439" s="19" t="s">
        <v>7</v>
      </c>
      <c r="D439" s="19" t="s">
        <v>199</v>
      </c>
      <c r="E439" s="19" t="s">
        <v>33</v>
      </c>
      <c r="F439" s="14">
        <v>375</v>
      </c>
      <c r="G439" s="15">
        <f>250+300</f>
        <v>550</v>
      </c>
      <c r="H439" s="15">
        <v>300</v>
      </c>
      <c r="I439" s="15">
        <v>300</v>
      </c>
    </row>
    <row r="440" spans="1:9" s="3" customFormat="1" ht="174.75" customHeight="1">
      <c r="A440" s="65" t="s">
        <v>308</v>
      </c>
      <c r="B440" s="19" t="s">
        <v>16</v>
      </c>
      <c r="C440" s="19" t="s">
        <v>7</v>
      </c>
      <c r="D440" s="19" t="s">
        <v>215</v>
      </c>
      <c r="E440" s="19"/>
      <c r="F440" s="14"/>
      <c r="G440" s="15">
        <f>G441</f>
        <v>1166.255</v>
      </c>
      <c r="H440" s="15">
        <f>H441</f>
        <v>0</v>
      </c>
      <c r="I440" s="15">
        <f>I441</f>
        <v>0</v>
      </c>
    </row>
    <row r="441" spans="1:9" s="3" customFormat="1" ht="63">
      <c r="A441" s="50" t="s">
        <v>61</v>
      </c>
      <c r="B441" s="19" t="s">
        <v>16</v>
      </c>
      <c r="C441" s="19" t="s">
        <v>7</v>
      </c>
      <c r="D441" s="19" t="s">
        <v>215</v>
      </c>
      <c r="E441" s="19" t="s">
        <v>33</v>
      </c>
      <c r="F441" s="14"/>
      <c r="G441" s="15">
        <v>1166.255</v>
      </c>
      <c r="H441" s="15"/>
      <c r="I441" s="15"/>
    </row>
    <row r="442" spans="1:9" s="56" customFormat="1" ht="31.5" hidden="1">
      <c r="A442" s="41" t="s">
        <v>12</v>
      </c>
      <c r="B442" s="30" t="s">
        <v>55</v>
      </c>
      <c r="C442" s="30"/>
      <c r="D442" s="30"/>
      <c r="E442" s="30"/>
      <c r="F442" s="28"/>
      <c r="G442" s="29">
        <f>G443</f>
        <v>0</v>
      </c>
      <c r="H442" s="29">
        <f>H443</f>
        <v>0</v>
      </c>
      <c r="I442" s="29">
        <f>I443</f>
        <v>0</v>
      </c>
    </row>
    <row r="443" spans="1:9" s="53" customFormat="1" ht="30.75" customHeight="1" hidden="1">
      <c r="A443" s="41" t="s">
        <v>209</v>
      </c>
      <c r="B443" s="9" t="s">
        <v>55</v>
      </c>
      <c r="C443" s="9" t="s">
        <v>6</v>
      </c>
      <c r="D443" s="9"/>
      <c r="E443" s="9"/>
      <c r="F443" s="11">
        <f>F445</f>
        <v>841.9</v>
      </c>
      <c r="G443" s="12">
        <f>G445</f>
        <v>0</v>
      </c>
      <c r="H443" s="12">
        <f>H445</f>
        <v>0</v>
      </c>
      <c r="I443" s="12">
        <f>I445</f>
        <v>0</v>
      </c>
    </row>
    <row r="444" spans="1:9" s="57" customFormat="1" ht="30.75" customHeight="1" hidden="1">
      <c r="A444" s="45" t="s">
        <v>76</v>
      </c>
      <c r="B444" s="23" t="s">
        <v>55</v>
      </c>
      <c r="C444" s="23" t="s">
        <v>6</v>
      </c>
      <c r="D444" s="23" t="s">
        <v>119</v>
      </c>
      <c r="E444" s="23"/>
      <c r="F444" s="25"/>
      <c r="G444" s="26">
        <f>G445</f>
        <v>0</v>
      </c>
      <c r="H444" s="26"/>
      <c r="I444" s="26"/>
    </row>
    <row r="445" spans="1:9" s="53" customFormat="1" ht="30.75" customHeight="1" hidden="1">
      <c r="A445" s="32" t="s">
        <v>14</v>
      </c>
      <c r="B445" s="19" t="s">
        <v>55</v>
      </c>
      <c r="C445" s="19" t="s">
        <v>6</v>
      </c>
      <c r="D445" s="19" t="s">
        <v>206</v>
      </c>
      <c r="E445" s="19"/>
      <c r="F445" s="14">
        <f>F446</f>
        <v>841.9</v>
      </c>
      <c r="G445" s="15">
        <f>G446</f>
        <v>0</v>
      </c>
      <c r="H445" s="15">
        <f>H446</f>
        <v>0</v>
      </c>
      <c r="I445" s="15">
        <f>I446</f>
        <v>0</v>
      </c>
    </row>
    <row r="446" spans="1:9" s="53" customFormat="1" ht="15" customHeight="1" hidden="1">
      <c r="A446" s="52" t="s">
        <v>207</v>
      </c>
      <c r="B446" s="19" t="s">
        <v>55</v>
      </c>
      <c r="C446" s="19" t="s">
        <v>6</v>
      </c>
      <c r="D446" s="19" t="s">
        <v>206</v>
      </c>
      <c r="E446" s="19" t="s">
        <v>208</v>
      </c>
      <c r="F446" s="14">
        <f>887-45.1</f>
        <v>841.9</v>
      </c>
      <c r="G446" s="15">
        <f>171-171</f>
        <v>0</v>
      </c>
      <c r="H446" s="15"/>
      <c r="I446" s="15"/>
    </row>
    <row r="447" spans="1:9" s="3" customFormat="1" ht="15.75">
      <c r="A447" s="38"/>
      <c r="B447" s="10"/>
      <c r="C447" s="10"/>
      <c r="D447" s="10"/>
      <c r="E447" s="10"/>
      <c r="F447" s="14"/>
      <c r="G447" s="15"/>
      <c r="H447" s="15"/>
      <c r="I447" s="15"/>
    </row>
    <row r="448" spans="1:9" s="3" customFormat="1" ht="15.75">
      <c r="A448" s="34" t="s">
        <v>42</v>
      </c>
      <c r="B448" s="22"/>
      <c r="C448" s="22"/>
      <c r="D448" s="22"/>
      <c r="E448" s="22"/>
      <c r="F448" s="11" t="e">
        <f>F426+F385+#REF!+F345+F198+F193+F171+#REF!+#REF!+F12</f>
        <v>#REF!</v>
      </c>
      <c r="G448" s="12">
        <f>G12+G147+G154+G171+G193+G198+G345+G385+G426+G435+G442</f>
        <v>286634.31500000006</v>
      </c>
      <c r="H448" s="12">
        <f>H12+H147+H154+H171+H193+H198+H345+H385+H426+H435</f>
        <v>249279.69999999995</v>
      </c>
      <c r="I448" s="12">
        <f>I12+I147+I154+I171+I193+I198+I345+I385+I426+I435</f>
        <v>254979</v>
      </c>
    </row>
    <row r="449" spans="1:7" s="3" customFormat="1" ht="15.75">
      <c r="A449" s="43"/>
      <c r="B449" s="46"/>
      <c r="C449" s="46"/>
      <c r="D449" s="46"/>
      <c r="E449" s="46"/>
      <c r="F449" s="46"/>
      <c r="G449" s="46"/>
    </row>
    <row r="450" spans="1:9" s="3" customFormat="1" ht="15.75">
      <c r="A450" s="35"/>
      <c r="G450" s="31"/>
      <c r="H450" s="58"/>
      <c r="I450" s="58"/>
    </row>
    <row r="451" s="3" customFormat="1" ht="15.75">
      <c r="A451" s="35"/>
    </row>
    <row r="452" spans="1:7" s="3" customFormat="1" ht="15.75">
      <c r="A452" s="35"/>
      <c r="E452" s="98"/>
      <c r="F452" s="98"/>
      <c r="G452" s="4"/>
    </row>
  </sheetData>
  <sheetProtection/>
  <mergeCells count="7">
    <mergeCell ref="A1:I1"/>
    <mergeCell ref="E2:G2"/>
    <mergeCell ref="A3:G3"/>
    <mergeCell ref="E452:F452"/>
    <mergeCell ref="A7:F7"/>
    <mergeCell ref="B4:G4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10" r:id="rId1"/>
  <headerFooter alignWithMargins="0">
    <oddFooter>&amp;CСтраница &amp;P</oddFooter>
  </headerFooter>
  <rowBreaks count="1" manualBreakCount="1"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2018-06-20T06:41:54Z</cp:lastPrinted>
  <dcterms:created xsi:type="dcterms:W3CDTF">2007-09-03T07:30:33Z</dcterms:created>
  <dcterms:modified xsi:type="dcterms:W3CDTF">2018-12-24T10:36:09Z</dcterms:modified>
  <cp:category/>
  <cp:version/>
  <cp:contentType/>
  <cp:contentStatus/>
</cp:coreProperties>
</file>