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20-2022" sheetId="1" r:id="rId1"/>
  </sheets>
  <definedNames>
    <definedName name="_xlnm.Print_Area" localSheetId="0">'2020-2022'!$A$1:$I$498</definedName>
  </definedNames>
  <calcPr fullCalcOnLoad="1"/>
</workbook>
</file>

<file path=xl/sharedStrings.xml><?xml version="1.0" encoding="utf-8"?>
<sst xmlns="http://schemas.openxmlformats.org/spreadsheetml/2006/main" count="2167" uniqueCount="386">
  <si>
    <t>Наименование</t>
  </si>
  <si>
    <t>Раздел</t>
  </si>
  <si>
    <t>Подраздел</t>
  </si>
  <si>
    <t>ЦСР</t>
  </si>
  <si>
    <t>КВР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</si>
  <si>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</si>
  <si>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</si>
  <si>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</si>
  <si>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</si>
  <si>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</si>
  <si>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</si>
  <si>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</si>
  <si>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</si>
  <si>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</si>
  <si>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</si>
  <si>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Резервные фонды</t>
  </si>
  <si>
    <t>12</t>
  </si>
  <si>
    <t>Другие общегосударственные вопросы</t>
  </si>
  <si>
    <t>Оценка недвижимости, признание прав  и регулирование отношений по государственной  и муниципальной собственности</t>
  </si>
  <si>
    <t>Национальная безопасность и правоохранительная деятельность</t>
  </si>
  <si>
    <t>05</t>
  </si>
  <si>
    <t>09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</si>
  <si>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</si>
  <si>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</si>
  <si>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</si>
  <si>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</si>
  <si>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06</t>
  </si>
  <si>
    <t>Образование</t>
  </si>
  <si>
    <t>07</t>
  </si>
  <si>
    <t>Дошкольное образование</t>
  </si>
  <si>
    <t>Общее образование</t>
  </si>
  <si>
    <t>621</t>
  </si>
  <si>
    <t>Молодежная политика и оздоровление детей</t>
  </si>
  <si>
    <t>08</t>
  </si>
  <si>
    <t>Культура</t>
  </si>
  <si>
    <t>Периодическая печать и издательства</t>
  </si>
  <si>
    <t>Физическая культура и спорт</t>
  </si>
  <si>
    <t>10</t>
  </si>
  <si>
    <t>Социальная политика</t>
  </si>
  <si>
    <t>Социальное обеспечение населения</t>
  </si>
  <si>
    <t>ВСЕГО :</t>
  </si>
  <si>
    <t>(тыс.рублей)</t>
  </si>
  <si>
    <t>Судебная система</t>
  </si>
  <si>
    <t>Резервные фонды местных администраций</t>
  </si>
  <si>
    <t>Охрана семьи и детства</t>
  </si>
  <si>
    <t>Национальная экономика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</si>
  <si>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</si>
  <si>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Дорожное хозяйство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</si>
  <si>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</si>
  <si>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</si>
  <si>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</si>
  <si>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 xml:space="preserve">Руководитель контрольно-счетной палаты муниципального образования </t>
  </si>
  <si>
    <t>13</t>
  </si>
  <si>
    <t xml:space="preserve">Культура и кинематография </t>
  </si>
  <si>
    <t>Средства массовой информации</t>
  </si>
  <si>
    <t xml:space="preserve">к решению Даниловского  районного 
Совета народных депутатов </t>
  </si>
  <si>
    <t>Сельское хозяйство и рыболовство</t>
  </si>
  <si>
    <t>Иные межбюджетные трансферты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</si>
  <si>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</si>
  <si>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611</t>
  </si>
  <si>
    <t>612</t>
  </si>
  <si>
    <t>Субсидии бюджетным учреждениям на иные цели</t>
  </si>
  <si>
    <t>112</t>
  </si>
  <si>
    <t>Обеспечение деятельности муниципальных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</si>
  <si>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</si>
  <si>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</si>
  <si>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Обеспечение выполнения функций муниципальными органами, казенными учреждениями</t>
  </si>
  <si>
    <t xml:space="preserve">Иные выплаты персоналу государственных (муниципальных) органов, за исключением фонда оплаты труда </t>
  </si>
  <si>
    <t>Прочая закупка товаров, работ и услуг для обеспечения муниципальных нужд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</si>
  <si>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</si>
  <si>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</si>
  <si>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</si>
  <si>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</si>
  <si>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Непрограммные расходы органов местного самоуправления</t>
  </si>
  <si>
    <t>851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</si>
  <si>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</si>
  <si>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</si>
  <si>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</si>
  <si>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Иные выплаты персоналу казенных учреждений, за исключением фонда оплаты труда</t>
  </si>
  <si>
    <t>Уплата прочих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</si>
  <si>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</si>
  <si>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</si>
  <si>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852</t>
  </si>
  <si>
    <t>831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</si>
  <si>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</si>
  <si>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</si>
  <si>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6707028</t>
  </si>
  <si>
    <t xml:space="preserve">Мероприятия в области коммунального хозяйства </t>
  </si>
  <si>
    <t>540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</si>
  <si>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</si>
  <si>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</si>
  <si>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</si>
  <si>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</si>
  <si>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Мероприятия в области  физической культуры и спорта</t>
  </si>
  <si>
    <t>Развитие сети муниципальных автомобильных дорог общего пользования</t>
  </si>
  <si>
    <t>9908067</t>
  </si>
  <si>
    <t>321</t>
  </si>
  <si>
    <t>Резервный фонд Правительства Волгоградской области</t>
  </si>
  <si>
    <t>Пособия, компенсации и иные социальные выплаты гражданам, кроме публичных нормативных обязательств</t>
  </si>
  <si>
    <t>1117058</t>
  </si>
  <si>
    <t>Субсидии на 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</si>
  <si>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</si>
  <si>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</si>
  <si>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</si>
  <si>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 xml:space="preserve">Предоставление услуг (работ) в сфере культуры </t>
  </si>
  <si>
    <t>Мероприятия по безопасности дорожного движения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</si>
  <si>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</si>
  <si>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</si>
  <si>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>9000000000</t>
  </si>
  <si>
    <t>9000000010</t>
  </si>
  <si>
    <t>9000070010</t>
  </si>
  <si>
    <t>9000070020</t>
  </si>
  <si>
    <t>9000070030</t>
  </si>
  <si>
    <t>9000070040</t>
  </si>
  <si>
    <t>9000000070</t>
  </si>
  <si>
    <t>9900000000</t>
  </si>
  <si>
    <t>9900080020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</si>
  <si>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</si>
  <si>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</si>
  <si>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</si>
  <si>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</si>
  <si>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</si>
  <si>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</si>
  <si>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</si>
  <si>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</si>
  <si>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</si>
  <si>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</si>
  <si>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</si>
  <si>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</si>
  <si>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</si>
  <si>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</si>
  <si>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</si>
  <si>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</si>
  <si>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</si>
  <si>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0100000000</t>
  </si>
  <si>
    <t>0100020870</t>
  </si>
  <si>
    <t>9900020880</t>
  </si>
  <si>
    <t>9900020890</t>
  </si>
  <si>
    <t>9900070510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</si>
  <si>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</si>
  <si>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</si>
  <si>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</si>
  <si>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</si>
  <si>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119</t>
  </si>
  <si>
    <t>6000000000</t>
  </si>
  <si>
    <t>6000000590</t>
  </si>
  <si>
    <t>6000070350</t>
  </si>
  <si>
    <t>5400000000</t>
  </si>
  <si>
    <t>5400060010</t>
  </si>
  <si>
    <t>6100000000</t>
  </si>
  <si>
    <t>6100000590</t>
  </si>
  <si>
    <t>6100070360</t>
  </si>
  <si>
    <t>6200000000</t>
  </si>
  <si>
    <t>6200000590</t>
  </si>
  <si>
    <t>9900070370</t>
  </si>
  <si>
    <t>9900070570</t>
  </si>
  <si>
    <t>0200000000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</si>
  <si>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</si>
  <si>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</si>
  <si>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</si>
  <si>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</si>
  <si>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</si>
  <si>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</si>
  <si>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</si>
  <si>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</si>
  <si>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</si>
  <si>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9900010270</t>
  </si>
  <si>
    <t>9900070420</t>
  </si>
  <si>
    <t>9900070450</t>
  </si>
  <si>
    <t>9900070530</t>
  </si>
  <si>
    <t>Резервный фонд Администрации Волгоградской области</t>
  </si>
  <si>
    <t>9900080670</t>
  </si>
  <si>
    <t>9900070340</t>
  </si>
  <si>
    <t>9900070400</t>
  </si>
  <si>
    <t>9900070410</t>
  </si>
  <si>
    <t>1200000000</t>
  </si>
  <si>
    <t>1200020350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</si>
  <si>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</si>
  <si>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0200070090</t>
  </si>
  <si>
    <t>Мероприятия по профилактике терроризма и экстремизма</t>
  </si>
  <si>
    <t xml:space="preserve">Фонд оплаты труда  учреждений </t>
  </si>
  <si>
    <t>Взносы по обязательному социальному страхованию  на выплаты по оплате труда работников и иные выплаты работникам  учреждений</t>
  </si>
  <si>
    <t>9900070580</t>
  </si>
  <si>
    <t>9900070270</t>
  </si>
  <si>
    <t xml:space="preserve"> Межбюджетные трансферты,  передаваемые бюджетам сельских
поселений из бюджетов  муниципальных районов на  осуществление части полномочий  по решению вопросов местного  значения в соответствии с
заключенными соглашениями
</t>
  </si>
  <si>
    <t>5700000590</t>
  </si>
  <si>
    <t>9900051200</t>
  </si>
  <si>
    <t>Предоставление услуг (работ) в сфере средств массовой информации</t>
  </si>
  <si>
    <t>9900060120</t>
  </si>
  <si>
    <t>9900070590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</si>
  <si>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</si>
  <si>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</si>
  <si>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</si>
  <si>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</si>
  <si>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</si>
  <si>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</si>
  <si>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</si>
  <si>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</si>
  <si>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</si>
  <si>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</si>
  <si>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</si>
  <si>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</si>
  <si>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</si>
  <si>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</si>
  <si>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</si>
  <si>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</si>
  <si>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</si>
  <si>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</si>
  <si>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Дополнительное образование детей</t>
  </si>
  <si>
    <t xml:space="preserve"> Расходы на обеспечение деятельности (оказание услуг)  казенных учреждений 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</si>
  <si>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</si>
  <si>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</si>
  <si>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>Ведомственная целевая программа "Развитие  общего  образования Даниловского муниципального района" на 2015-2019 годы</t>
  </si>
  <si>
    <t>Приобретение товаров, работ, услуг в пользу граждан в целях их социального обеспечения</t>
  </si>
  <si>
    <t>323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</si>
  <si>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</si>
  <si>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</si>
  <si>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</si>
  <si>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870</t>
  </si>
  <si>
    <t>Резервные средства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</si>
  <si>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</si>
  <si>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0800000000</t>
  </si>
  <si>
    <t>0810000000</t>
  </si>
  <si>
    <t>0810100000</t>
  </si>
  <si>
    <t>Профессиональная подготовка, переподготовка и повышение квалификации</t>
  </si>
  <si>
    <t>2020 год</t>
  </si>
  <si>
    <t>811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</si>
  <si>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</si>
  <si>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</si>
  <si>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</si>
  <si>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</si>
  <si>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</si>
  <si>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</si>
  <si>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</si>
  <si>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</si>
  <si>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</si>
  <si>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Иные межбюджетные трансферты бюджетам поселений для решения отдельных вопросов местного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</si>
  <si>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</si>
  <si>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Другие вопросы в области социальной политики</t>
  </si>
  <si>
    <t>6100071493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</si>
  <si>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</si>
  <si>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</si>
  <si>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</si>
  <si>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</si>
  <si>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</si>
  <si>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</si>
  <si>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</si>
  <si>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</si>
  <si>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</si>
  <si>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</si>
  <si>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</si>
  <si>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</si>
  <si>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</si>
  <si>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</si>
  <si>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</si>
  <si>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</si>
  <si>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</si>
  <si>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</si>
  <si>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</si>
  <si>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</si>
  <si>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</si>
  <si>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</si>
  <si>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</si>
  <si>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</si>
  <si>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</si>
  <si>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</si>
  <si>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</si>
  <si>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</si>
  <si>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</si>
  <si>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</si>
  <si>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</si>
  <si>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</si>
  <si>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компенсации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</si>
  <si>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</si>
  <si>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</si>
  <si>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</si>
  <si>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Целевая муниципальная программа "Развитие спорта в Даниловском  муниципальном районе"</t>
  </si>
  <si>
    <t>Ведомственная целевая программа "Содержание и развитие МКУК "Даниловская районная библиотека им. Д.Л.Мордовцева"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</si>
  <si>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</si>
  <si>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</si>
  <si>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"Организация отдыха и оздоровления детей и подростков Даниловского муниципального района Волгоградской области"</t>
  </si>
  <si>
    <t xml:space="preserve">Ведомственная целевая программа "Организация деятельности МКУ "МЦБ Даниловского муниципального района" 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</si>
  <si>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</si>
  <si>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</si>
  <si>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</si>
  <si>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</si>
  <si>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 xml:space="preserve">Ведомственная целевая программа "Развитие  общего  образования Даниловского муниципального района" </t>
  </si>
  <si>
    <t>Муниципальная программа "Развитие спорта в Даниловском  муниципальном районе"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</si>
  <si>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</si>
  <si>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Муниципальная программа "Развитие сети муниципальных автомобильных дорог общего пользования Даниловского муниципального района"</t>
  </si>
  <si>
    <t>Ведомственная целевая программа "Организация деятельности МКУ "МЦБ Даниловского муниципального района"</t>
  </si>
  <si>
    <t>Муниципальная программа "Безопасность дорожного движения в Даниловском муниципальном районе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</si>
  <si>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</si>
  <si>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</si>
  <si>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</si>
  <si>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</si>
  <si>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</si>
  <si>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>60000S1170</t>
  </si>
  <si>
    <t>61000S0980</t>
  </si>
  <si>
    <t>61000S1170</t>
  </si>
  <si>
    <t>02000S0390</t>
  </si>
  <si>
    <t>99000S0840</t>
  </si>
  <si>
    <t>1000000000</t>
  </si>
  <si>
    <t>1000020840</t>
  </si>
  <si>
    <t>Муниципальная программа "Профилактика терроризма и экстремизма в Даниловском муниципальном районе"</t>
  </si>
  <si>
    <t>1300000000</t>
  </si>
  <si>
    <t>1300020820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</si>
  <si>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</si>
  <si>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</si>
  <si>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99000S1150</t>
  </si>
  <si>
    <t>Расходы на реализацию мероприятий в сфере дорожной деятельности</t>
  </si>
  <si>
    <t>0810160020</t>
  </si>
  <si>
    <t>Основное мероприятие "Развитие и укрепление материально-технической базы учреждений культуры"</t>
  </si>
  <si>
    <t>Субсидия на развитие и укрепление материально-технической базы муниципальных учреждений культуры</t>
  </si>
  <si>
    <t>0820000000</t>
  </si>
  <si>
    <t>0820100000</t>
  </si>
  <si>
    <t>0820120340</t>
  </si>
  <si>
    <t>Подпрограмма "Сохранение и развитие народных художественных промыслов"</t>
  </si>
  <si>
    <t xml:space="preserve">Основное мероприятие </t>
  </si>
  <si>
    <t xml:space="preserve">Расходы, направленные на сохранение и развитие народных художественных промыслов </t>
  </si>
  <si>
    <t>0310000000</t>
  </si>
  <si>
    <t>0310100000</t>
  </si>
  <si>
    <t>0310120830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</si>
  <si>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</si>
  <si>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</si>
  <si>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2021 год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</si>
  <si>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</si>
  <si>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Распределение расходов по разделам, подразделам, целевым статьям и видам расходов бюджетной классификации РФ районного бюджета на 2020 год и на плановый период 2021 и 2022 годов</t>
  </si>
  <si>
    <t>2022 год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</si>
  <si>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</si>
  <si>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99000L2290</t>
  </si>
  <si>
    <t>Расходы на развитие и укрепление материально-технической базы муниципальных учреждений культуры</t>
  </si>
  <si>
    <t>0810120050</t>
  </si>
  <si>
    <t>Расжоды на проведение Всероссийской переписи населения 2020 года</t>
  </si>
  <si>
    <t>9900054690</t>
  </si>
  <si>
    <t>99000S1740</t>
  </si>
  <si>
    <t>99000S1930</t>
  </si>
  <si>
    <t>Благоустройство</t>
  </si>
  <si>
    <t>110F2S1380</t>
  </si>
  <si>
    <t>121E250970</t>
  </si>
  <si>
    <t>61000S1840</t>
  </si>
  <si>
    <t>61000S1890</t>
  </si>
  <si>
    <t>60000S1850</t>
  </si>
  <si>
    <t>110F200000</t>
  </si>
  <si>
    <t>Региональный проект "Успех каждого ребенка (Волгоградская область)"</t>
  </si>
  <si>
    <t>Поддержка муниципальных программ формирования современной городской среды</t>
  </si>
  <si>
    <t>Cоздание в общеобразовательных организациях, расположенных в сельской местности, условий для занятий физической культурой</t>
  </si>
  <si>
    <t>Расходы на благоустройство площадок для проведения праздничных линеек и других мероприятий в муниципальных образовательных организациях</t>
  </si>
  <si>
    <t>61000S1850</t>
  </si>
  <si>
    <t>Расходы на замену кровли и выполнение необходимых для этого работ в зданиях муниципальных образовательных организациях</t>
  </si>
  <si>
    <t>Расходы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организация</t>
  </si>
  <si>
    <t>60000S0980</t>
  </si>
  <si>
    <t>1.6. Приложение 9 изложить в следующей редакции:</t>
  </si>
  <si>
    <t>"Приложение 9</t>
  </si>
  <si>
    <t>414</t>
  </si>
  <si>
    <t>081А1S1900</t>
  </si>
  <si>
    <t>081A100000</t>
  </si>
  <si>
    <t>Межбюджетные трансферты бюджетам сельских поселений для решения отдельных вопросов местного значения</t>
  </si>
  <si>
    <t>Основное мероприятие "Обеспечение качественно нового уровня развития инфраструктуры в сфере культуры"</t>
  </si>
  <si>
    <t>Расходы на развитие муниципальных домов культуры</t>
  </si>
  <si>
    <t>14000L5765</t>
  </si>
  <si>
    <t>633</t>
  </si>
  <si>
    <t>1400000000</t>
  </si>
  <si>
    <t>Расходы на реализацию мероприятий, связанных с организацией улично - дорожной сети населенных пунктов</t>
  </si>
  <si>
    <t>Муниципальная программа "Комплексное развитие сельских территорий Даниловского муниципаотного района Волгоградской области"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</si>
  <si>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</si>
  <si>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Бюджетные инвестиции в объекты капитального строительства государственной (муниципальной) собственности</t>
  </si>
  <si>
    <t>120E200000</t>
  </si>
  <si>
    <t>120E250970</t>
  </si>
  <si>
    <t>99000S1770</t>
  </si>
  <si>
    <t>Расходы на реализацию проектов местных инициатив населения Волгоградской области</t>
  </si>
  <si>
    <t>60000S1770</t>
  </si>
  <si>
    <t>0810220050</t>
  </si>
  <si>
    <t>0810200000</t>
  </si>
  <si>
    <t>Прочая закупка товаров, работ и услуг</t>
  </si>
  <si>
    <t>990005930F</t>
  </si>
  <si>
    <t>Расходы на осуществление переданных полномочий РФ по государственной регистрации актов гражданского состояния за счет средств резервного фонда Правительства РФ в части перевода в электронную форму книг государственной регистрации актов гражданского состояния</t>
  </si>
  <si>
    <t>6100053030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</si>
  <si>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</si>
  <si>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</si>
  <si>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</si>
  <si>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61000L3040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</si>
  <si>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</si>
  <si>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Муниципальная программа "Совершенствование организации питания обучающихся в общеобразовательных организациях Даниловского муниципального района"</t>
  </si>
  <si>
    <t>04000L3040</t>
  </si>
  <si>
    <t xml:space="preserve">от 24.09.2020 г. № 14/1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</si>
</sst>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7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1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179" fontId="3" fillId="0" borderId="10" xfId="0" applyNumberFormat="1" applyFont="1" applyBorder="1" applyAlignment="1">
      <alignment horizontal="right"/>
    </xf>
    <xf numFmtId="0" fontId="44" fillId="0" borderId="11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3" fillId="0" borderId="15" xfId="0" applyFont="1" applyBorder="1" applyAlignment="1">
      <alignment horizontal="justify"/>
    </xf>
    <xf numFmtId="0" fontId="4" fillId="0" borderId="11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34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/>
    </xf>
    <xf numFmtId="179" fontId="3" fillId="34" borderId="10" xfId="0" applyNumberFormat="1" applyFont="1" applyFill="1" applyBorder="1" applyAlignment="1">
      <alignment horizontal="right"/>
    </xf>
    <xf numFmtId="179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179" fontId="5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justify" vertical="center" wrapText="1"/>
    </xf>
    <xf numFmtId="179" fontId="3" fillId="0" borderId="0" xfId="0" applyNumberFormat="1" applyFont="1" applyBorder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4"/>
  <sheetViews>
    <sheetView showZeros="0" tabSelected="1" view="pageBreakPreview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44.00390625" style="44" customWidth="1"/>
    <col min="2" max="3" width="5.25390625" style="47" customWidth="1"/>
    <col min="4" max="4" width="12.75390625" style="47" customWidth="1"/>
    <col min="5" max="5" width="5.375" style="47" customWidth="1"/>
    <col min="6" max="6" width="10.875" style="47" hidden="1" customWidth="1"/>
    <col min="7" max="7" width="12.125" style="47" bestFit="1" customWidth="1"/>
    <col min="8" max="8" width="13.25390625" style="47" customWidth="1"/>
    <col min="9" max="9" width="13.375" style="47" customWidth="1"/>
    <col min="10" max="10" width="16.875" style="47" customWidth="1"/>
    <col min="11" max="11" width="17.125" style="47" customWidth="1"/>
    <col min="12" max="16384" width="9.125" style="47" customWidth="1"/>
  </cols>
  <sheetData>
    <row r="1" spans="1:9" ht="15.75">
      <c r="A1" s="128" t="s">
        <v>352</v>
      </c>
      <c r="B1" s="128"/>
      <c r="C1" s="129"/>
      <c r="D1" s="129"/>
      <c r="E1" s="129"/>
      <c r="F1" s="129"/>
      <c r="G1" s="129"/>
      <c r="H1" s="129"/>
      <c r="I1" s="129"/>
    </row>
    <row r="2" spans="1:7" s="3" customFormat="1" ht="15.75">
      <c r="A2" s="35"/>
      <c r="B2" s="1"/>
      <c r="C2" s="1"/>
      <c r="D2" s="1"/>
      <c r="E2" s="130" t="s">
        <v>353</v>
      </c>
      <c r="F2" s="130"/>
      <c r="G2" s="130"/>
    </row>
    <row r="3" spans="1:7" s="3" customFormat="1" ht="29.25" customHeight="1">
      <c r="A3" s="131" t="s">
        <v>55</v>
      </c>
      <c r="B3" s="132"/>
      <c r="C3" s="132"/>
      <c r="D3" s="132"/>
      <c r="E3" s="132"/>
      <c r="F3" s="132"/>
      <c r="G3" s="132"/>
    </row>
    <row r="4" spans="1:7" s="3" customFormat="1" ht="15.75">
      <c r="A4" s="35"/>
      <c r="B4" s="132" t="s">
        <v>385</v>
      </c>
      <c r="C4" s="132"/>
      <c r="D4" s="132"/>
      <c r="E4" s="132"/>
      <c r="F4" s="132"/>
      <c r="G4" s="132"/>
    </row>
    <row r="5" spans="1:7" s="3" customFormat="1" ht="15.75">
      <c r="A5" s="35"/>
      <c r="B5" s="1"/>
      <c r="C5" s="1"/>
      <c r="D5" s="1"/>
      <c r="E5" s="2"/>
      <c r="F5" s="1"/>
      <c r="G5" s="1"/>
    </row>
    <row r="6" spans="1:9" s="3" customFormat="1" ht="32.25" customHeight="1">
      <c r="A6" s="134" t="s">
        <v>327</v>
      </c>
      <c r="B6" s="134"/>
      <c r="C6" s="134"/>
      <c r="D6" s="134"/>
      <c r="E6" s="134"/>
      <c r="F6" s="134"/>
      <c r="G6" s="134"/>
      <c r="H6" s="134"/>
      <c r="I6" s="134"/>
    </row>
    <row r="7" spans="1:7" s="3" customFormat="1" ht="15.75">
      <c r="A7" s="130"/>
      <c r="B7" s="130"/>
      <c r="C7" s="130"/>
      <c r="D7" s="130"/>
      <c r="E7" s="130"/>
      <c r="F7" s="130"/>
      <c r="G7" s="4"/>
    </row>
    <row r="8" spans="1:9" s="3" customFormat="1" ht="15.75">
      <c r="A8" s="35"/>
      <c r="I8" s="1" t="s">
        <v>41</v>
      </c>
    </row>
    <row r="9" spans="1:11" s="3" customFormat="1" ht="64.5" customHeight="1">
      <c r="A9" s="48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6">
        <v>2007</v>
      </c>
      <c r="G9" s="7" t="s">
        <v>225</v>
      </c>
      <c r="H9" s="7" t="s">
        <v>325</v>
      </c>
      <c r="I9" s="98" t="s">
        <v>328</v>
      </c>
      <c r="J9" s="46"/>
      <c r="K9" s="46"/>
    </row>
    <row r="10" spans="1:11" s="3" customFormat="1" ht="15.75">
      <c r="A10" s="4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6</v>
      </c>
      <c r="H10" s="8">
        <v>7</v>
      </c>
      <c r="I10" s="99">
        <v>8</v>
      </c>
      <c r="J10" s="46"/>
      <c r="K10" s="46"/>
    </row>
    <row r="11" spans="1:11" s="3" customFormat="1" ht="15.75">
      <c r="A11" s="33"/>
      <c r="B11" s="8"/>
      <c r="C11" s="8"/>
      <c r="D11" s="8"/>
      <c r="E11" s="8"/>
      <c r="F11" s="8"/>
      <c r="G11" s="8"/>
      <c r="H11" s="8"/>
      <c r="I11" s="99"/>
      <c r="J11" s="46"/>
      <c r="K11" s="46"/>
    </row>
    <row r="12" spans="1:11" s="3" customFormat="1" ht="15.75">
      <c r="A12" s="36" t="s">
        <v>5</v>
      </c>
      <c r="B12" s="9" t="s">
        <v>6</v>
      </c>
      <c r="C12" s="10"/>
      <c r="D12" s="10"/>
      <c r="E12" s="10"/>
      <c r="F12" s="11" t="e">
        <f>#REF!+F18+F28+#REF!+F84+F88</f>
        <v>#REF!</v>
      </c>
      <c r="G12" s="12">
        <f>G18+G28+G84+G88+G60+G64+G13</f>
        <v>64486.573</v>
      </c>
      <c r="H12" s="12">
        <f>H18+H28+H84+H88+H60+H64+H13</f>
        <v>62481.60800000001</v>
      </c>
      <c r="I12" s="100">
        <f>I18+I28+I84+I88+I60+I64+I13</f>
        <v>62404.508</v>
      </c>
      <c r="J12" s="46"/>
      <c r="K12" s="107"/>
    </row>
    <row r="13" spans="1:11" s="56" customFormat="1" ht="47.25">
      <c r="A13" s="91" t="s">
        <v>240</v>
      </c>
      <c r="B13" s="27" t="s">
        <v>6</v>
      </c>
      <c r="C13" s="27" t="s">
        <v>7</v>
      </c>
      <c r="D13" s="30"/>
      <c r="E13" s="27"/>
      <c r="F13" s="28"/>
      <c r="G13" s="29">
        <f aca="true" t="shared" si="0" ref="G13:I14">G14</f>
        <v>1295.4</v>
      </c>
      <c r="H13" s="29">
        <f t="shared" si="0"/>
        <v>1290</v>
      </c>
      <c r="I13" s="101">
        <f t="shared" si="0"/>
        <v>1294.5</v>
      </c>
      <c r="J13" s="108"/>
      <c r="K13" s="107"/>
    </row>
    <row r="14" spans="1:11" s="3" customFormat="1" ht="31.5">
      <c r="A14" s="45" t="s">
        <v>63</v>
      </c>
      <c r="B14" s="24" t="s">
        <v>6</v>
      </c>
      <c r="C14" s="24" t="s">
        <v>7</v>
      </c>
      <c r="D14" s="19" t="s">
        <v>108</v>
      </c>
      <c r="E14" s="10"/>
      <c r="F14" s="11"/>
      <c r="G14" s="26">
        <f t="shared" si="0"/>
        <v>1295.4</v>
      </c>
      <c r="H14" s="26">
        <f t="shared" si="0"/>
        <v>1290</v>
      </c>
      <c r="I14" s="102">
        <f t="shared" si="0"/>
        <v>1294.5</v>
      </c>
      <c r="J14" s="46"/>
      <c r="K14" s="107"/>
    </row>
    <row r="15" spans="1:11" s="3" customFormat="1" ht="15.75">
      <c r="A15" s="90" t="s">
        <v>242</v>
      </c>
      <c r="B15" s="24" t="s">
        <v>6</v>
      </c>
      <c r="C15" s="24" t="s">
        <v>7</v>
      </c>
      <c r="D15" s="19" t="s">
        <v>241</v>
      </c>
      <c r="E15" s="10"/>
      <c r="F15" s="11"/>
      <c r="G15" s="26">
        <f>G16+G17</f>
        <v>1295.4</v>
      </c>
      <c r="H15" s="26">
        <f>H16+H17</f>
        <v>1290</v>
      </c>
      <c r="I15" s="102">
        <f>I16+I17</f>
        <v>1294.5</v>
      </c>
      <c r="J15" s="46"/>
      <c r="K15" s="107"/>
    </row>
    <row r="16" spans="1:11" s="3" customFormat="1" ht="31.5">
      <c r="A16" s="40" t="s">
        <v>139</v>
      </c>
      <c r="B16" s="24" t="s">
        <v>6</v>
      </c>
      <c r="C16" s="24" t="s">
        <v>7</v>
      </c>
      <c r="D16" s="19" t="s">
        <v>241</v>
      </c>
      <c r="E16" s="10" t="s">
        <v>65</v>
      </c>
      <c r="F16" s="11"/>
      <c r="G16" s="26">
        <v>994.9</v>
      </c>
      <c r="H16" s="26">
        <v>990</v>
      </c>
      <c r="I16" s="102">
        <v>994</v>
      </c>
      <c r="J16" s="46"/>
      <c r="K16" s="107"/>
    </row>
    <row r="17" spans="1:11" s="3" customFormat="1" ht="63" customHeight="1">
      <c r="A17" s="40" t="s">
        <v>141</v>
      </c>
      <c r="B17" s="24" t="s">
        <v>6</v>
      </c>
      <c r="C17" s="24" t="s">
        <v>7</v>
      </c>
      <c r="D17" s="19" t="s">
        <v>241</v>
      </c>
      <c r="E17" s="10" t="s">
        <v>140</v>
      </c>
      <c r="F17" s="11"/>
      <c r="G17" s="26">
        <v>300.5</v>
      </c>
      <c r="H17" s="26">
        <v>300</v>
      </c>
      <c r="I17" s="102">
        <v>300.5</v>
      </c>
      <c r="J17" s="46"/>
      <c r="K17" s="107"/>
    </row>
    <row r="18" spans="1:11" s="3" customFormat="1" ht="78.75">
      <c r="A18" s="37" t="s">
        <v>8</v>
      </c>
      <c r="B18" s="13" t="s">
        <v>6</v>
      </c>
      <c r="C18" s="13" t="s">
        <v>9</v>
      </c>
      <c r="D18" s="13"/>
      <c r="E18" s="16"/>
      <c r="F18" s="17" t="e">
        <f>F22</f>
        <v>#REF!</v>
      </c>
      <c r="G18" s="18">
        <f aca="true" t="shared" si="1" ref="G18:I19">G19</f>
        <v>420.83000000000004</v>
      </c>
      <c r="H18" s="18">
        <f t="shared" si="1"/>
        <v>415.4</v>
      </c>
      <c r="I18" s="103">
        <f t="shared" si="1"/>
        <v>415.9</v>
      </c>
      <c r="J18" s="46"/>
      <c r="K18" s="107"/>
    </row>
    <row r="19" spans="1:11" s="3" customFormat="1" ht="31.5">
      <c r="A19" s="45" t="s">
        <v>63</v>
      </c>
      <c r="B19" s="19" t="s">
        <v>6</v>
      </c>
      <c r="C19" s="19" t="s">
        <v>9</v>
      </c>
      <c r="D19" s="19" t="s">
        <v>108</v>
      </c>
      <c r="E19" s="19"/>
      <c r="F19" s="17"/>
      <c r="G19" s="69">
        <f t="shared" si="1"/>
        <v>420.83000000000004</v>
      </c>
      <c r="H19" s="69">
        <f t="shared" si="1"/>
        <v>415.4</v>
      </c>
      <c r="I19" s="104">
        <f t="shared" si="1"/>
        <v>415.9</v>
      </c>
      <c r="J19" s="46"/>
      <c r="K19" s="107"/>
    </row>
    <row r="20" spans="1:11" s="3" customFormat="1" ht="47.25">
      <c r="A20" s="45" t="s">
        <v>66</v>
      </c>
      <c r="B20" s="19" t="s">
        <v>6</v>
      </c>
      <c r="C20" s="19" t="s">
        <v>9</v>
      </c>
      <c r="D20" s="19" t="s">
        <v>109</v>
      </c>
      <c r="E20" s="19"/>
      <c r="F20" s="17"/>
      <c r="G20" s="69">
        <f>G21+G22+G24+G25+G26+G23+G27</f>
        <v>420.83000000000004</v>
      </c>
      <c r="H20" s="69">
        <f>H21+H22+H24+H25+H26+H23+H27</f>
        <v>415.4</v>
      </c>
      <c r="I20" s="104">
        <f>I21+I22+I24+I25+I26+I23+I27</f>
        <v>415.9</v>
      </c>
      <c r="J20" s="46"/>
      <c r="K20" s="107"/>
    </row>
    <row r="21" spans="1:11" s="3" customFormat="1" ht="31.5">
      <c r="A21" s="40" t="s">
        <v>139</v>
      </c>
      <c r="B21" s="19" t="s">
        <v>6</v>
      </c>
      <c r="C21" s="19" t="s">
        <v>9</v>
      </c>
      <c r="D21" s="19" t="s">
        <v>109</v>
      </c>
      <c r="E21" s="19" t="s">
        <v>65</v>
      </c>
      <c r="F21" s="17"/>
      <c r="G21" s="69">
        <f>316-0.001</f>
        <v>315.999</v>
      </c>
      <c r="H21" s="69">
        <v>316</v>
      </c>
      <c r="I21" s="104">
        <v>316</v>
      </c>
      <c r="J21" s="46"/>
      <c r="K21" s="107"/>
    </row>
    <row r="22" spans="1:11" s="3" customFormat="1" ht="48.75" customHeight="1">
      <c r="A22" s="40" t="s">
        <v>67</v>
      </c>
      <c r="B22" s="19" t="s">
        <v>6</v>
      </c>
      <c r="C22" s="19" t="s">
        <v>9</v>
      </c>
      <c r="D22" s="19" t="s">
        <v>109</v>
      </c>
      <c r="E22" s="19" t="s">
        <v>69</v>
      </c>
      <c r="F22" s="17" t="e">
        <f>#REF!+#REF!</f>
        <v>#REF!</v>
      </c>
      <c r="G22" s="69"/>
      <c r="H22" s="69"/>
      <c r="I22" s="104"/>
      <c r="J22" s="46"/>
      <c r="K22" s="107"/>
    </row>
    <row r="23" spans="1:11" s="3" customFormat="1" ht="63.75" customHeight="1">
      <c r="A23" s="40" t="s">
        <v>141</v>
      </c>
      <c r="B23" s="19" t="s">
        <v>6</v>
      </c>
      <c r="C23" s="19" t="s">
        <v>9</v>
      </c>
      <c r="D23" s="19" t="s">
        <v>109</v>
      </c>
      <c r="E23" s="19" t="s">
        <v>140</v>
      </c>
      <c r="F23" s="17"/>
      <c r="G23" s="69">
        <f>95.4-0.25</f>
        <v>95.15</v>
      </c>
      <c r="H23" s="69">
        <v>95.4</v>
      </c>
      <c r="I23" s="104">
        <v>95.4</v>
      </c>
      <c r="J23" s="46"/>
      <c r="K23" s="107"/>
    </row>
    <row r="24" spans="1:11" s="3" customFormat="1" ht="31.5">
      <c r="A24" s="40" t="s">
        <v>68</v>
      </c>
      <c r="B24" s="19" t="s">
        <v>6</v>
      </c>
      <c r="C24" s="19" t="s">
        <v>9</v>
      </c>
      <c r="D24" s="19" t="s">
        <v>109</v>
      </c>
      <c r="E24" s="54" t="s">
        <v>70</v>
      </c>
      <c r="F24" s="17" t="e">
        <f>#REF!</f>
        <v>#REF!</v>
      </c>
      <c r="G24" s="69">
        <f>4.8+4.63</f>
        <v>9.43</v>
      </c>
      <c r="H24" s="69">
        <v>4</v>
      </c>
      <c r="I24" s="104">
        <v>4.5</v>
      </c>
      <c r="J24" s="46"/>
      <c r="K24" s="107"/>
    </row>
    <row r="25" spans="1:11" s="3" customFormat="1" ht="31.5">
      <c r="A25" s="40" t="s">
        <v>72</v>
      </c>
      <c r="B25" s="19" t="s">
        <v>6</v>
      </c>
      <c r="C25" s="19" t="s">
        <v>9</v>
      </c>
      <c r="D25" s="19" t="s">
        <v>109</v>
      </c>
      <c r="E25" s="54" t="s">
        <v>74</v>
      </c>
      <c r="F25" s="17"/>
      <c r="G25" s="69"/>
      <c r="H25" s="69"/>
      <c r="I25" s="104"/>
      <c r="J25" s="46"/>
      <c r="K25" s="107"/>
    </row>
    <row r="26" spans="1:11" s="3" customFormat="1" ht="31.5">
      <c r="A26" s="40" t="s">
        <v>79</v>
      </c>
      <c r="B26" s="19" t="s">
        <v>6</v>
      </c>
      <c r="C26" s="19" t="s">
        <v>9</v>
      </c>
      <c r="D26" s="19" t="s">
        <v>109</v>
      </c>
      <c r="E26" s="54" t="s">
        <v>82</v>
      </c>
      <c r="F26" s="17"/>
      <c r="G26" s="69"/>
      <c r="H26" s="69"/>
      <c r="I26" s="104"/>
      <c r="J26" s="46"/>
      <c r="K26" s="107"/>
    </row>
    <row r="27" spans="1:11" s="3" customFormat="1" ht="15.75">
      <c r="A27" s="40" t="s">
        <v>203</v>
      </c>
      <c r="B27" s="19" t="s">
        <v>6</v>
      </c>
      <c r="C27" s="19" t="s">
        <v>9</v>
      </c>
      <c r="D27" s="19" t="s">
        <v>109</v>
      </c>
      <c r="E27" s="55" t="s">
        <v>201</v>
      </c>
      <c r="F27" s="17"/>
      <c r="G27" s="69">
        <f>0.001+0.25</f>
        <v>0.251</v>
      </c>
      <c r="H27" s="69"/>
      <c r="I27" s="104"/>
      <c r="J27" s="46"/>
      <c r="K27" s="107"/>
    </row>
    <row r="28" spans="1:11" s="3" customFormat="1" ht="78" customHeight="1">
      <c r="A28" s="49" t="s">
        <v>10</v>
      </c>
      <c r="B28" s="13" t="s">
        <v>6</v>
      </c>
      <c r="C28" s="13" t="s">
        <v>11</v>
      </c>
      <c r="D28" s="13"/>
      <c r="E28" s="13"/>
      <c r="F28" s="11" t="e">
        <f>#REF!</f>
        <v>#REF!</v>
      </c>
      <c r="G28" s="12">
        <f>G29</f>
        <v>23990.947999999997</v>
      </c>
      <c r="H28" s="12">
        <f>H29</f>
        <v>22562.207</v>
      </c>
      <c r="I28" s="100">
        <f>I29</f>
        <v>22567.207</v>
      </c>
      <c r="J28" s="46"/>
      <c r="K28" s="107"/>
    </row>
    <row r="29" spans="1:11" s="3" customFormat="1" ht="31.5">
      <c r="A29" s="45" t="s">
        <v>63</v>
      </c>
      <c r="B29" s="10" t="s">
        <v>6</v>
      </c>
      <c r="C29" s="10" t="s">
        <v>11</v>
      </c>
      <c r="D29" s="10" t="s">
        <v>108</v>
      </c>
      <c r="E29" s="10"/>
      <c r="F29" s="11"/>
      <c r="G29" s="26">
        <f>G30+G40+G46+G51+G56</f>
        <v>23990.947999999997</v>
      </c>
      <c r="H29" s="26">
        <f>H30+H40+H46+H51+H56</f>
        <v>22562.207</v>
      </c>
      <c r="I29" s="102">
        <f>I30+I40+I46+I51+I56</f>
        <v>22567.207</v>
      </c>
      <c r="J29" s="46"/>
      <c r="K29" s="107"/>
    </row>
    <row r="30" spans="1:11" s="3" customFormat="1" ht="47.25">
      <c r="A30" s="45" t="s">
        <v>66</v>
      </c>
      <c r="B30" s="10" t="s">
        <v>6</v>
      </c>
      <c r="C30" s="10" t="s">
        <v>11</v>
      </c>
      <c r="D30" s="10" t="s">
        <v>109</v>
      </c>
      <c r="E30" s="10"/>
      <c r="F30" s="11"/>
      <c r="G30" s="26">
        <f>G31+G32+G34+G37+G38+G33+G39+G36+G35</f>
        <v>22450.048</v>
      </c>
      <c r="H30" s="26">
        <f>H31+H32+H34+H37+H38+H33+H39+H36+H35</f>
        <v>21021.307</v>
      </c>
      <c r="I30" s="26">
        <f>I31+I32+I34+I37+I38+I33+I39+I36+I35</f>
        <v>21026.307</v>
      </c>
      <c r="J30" s="46"/>
      <c r="K30" s="107"/>
    </row>
    <row r="31" spans="1:11" s="3" customFormat="1" ht="31.5">
      <c r="A31" s="40" t="s">
        <v>142</v>
      </c>
      <c r="B31" s="10" t="s">
        <v>6</v>
      </c>
      <c r="C31" s="10" t="s">
        <v>11</v>
      </c>
      <c r="D31" s="10" t="s">
        <v>109</v>
      </c>
      <c r="E31" s="55" t="s">
        <v>65</v>
      </c>
      <c r="F31" s="11"/>
      <c r="G31" s="26">
        <f>15885.1</f>
        <v>15885.1</v>
      </c>
      <c r="H31" s="26">
        <v>15800</v>
      </c>
      <c r="I31" s="102">
        <v>15800</v>
      </c>
      <c r="J31" s="46">
        <v>16843.9</v>
      </c>
      <c r="K31" s="107">
        <f>G31-J31</f>
        <v>-958.8000000000011</v>
      </c>
    </row>
    <row r="32" spans="1:11" s="3" customFormat="1" ht="48.75" customHeight="1">
      <c r="A32" s="40" t="s">
        <v>67</v>
      </c>
      <c r="B32" s="10" t="s">
        <v>6</v>
      </c>
      <c r="C32" s="10" t="s">
        <v>11</v>
      </c>
      <c r="D32" s="10" t="s">
        <v>109</v>
      </c>
      <c r="E32" s="55" t="s">
        <v>69</v>
      </c>
      <c r="F32" s="11"/>
      <c r="G32" s="26">
        <v>1.8</v>
      </c>
      <c r="H32" s="26"/>
      <c r="I32" s="102"/>
      <c r="J32" s="46"/>
      <c r="K32" s="107"/>
    </row>
    <row r="33" spans="1:11" s="3" customFormat="1" ht="48.75" customHeight="1">
      <c r="A33" s="40" t="s">
        <v>141</v>
      </c>
      <c r="B33" s="10" t="s">
        <v>6</v>
      </c>
      <c r="C33" s="10" t="s">
        <v>11</v>
      </c>
      <c r="D33" s="10" t="s">
        <v>109</v>
      </c>
      <c r="E33" s="55" t="s">
        <v>140</v>
      </c>
      <c r="F33" s="11"/>
      <c r="G33" s="26">
        <v>4845</v>
      </c>
      <c r="H33" s="26">
        <v>4800</v>
      </c>
      <c r="I33" s="102">
        <v>4800</v>
      </c>
      <c r="J33" s="46">
        <v>5134.6</v>
      </c>
      <c r="K33" s="107">
        <f>G33-J33</f>
        <v>-289.60000000000036</v>
      </c>
    </row>
    <row r="34" spans="1:11" s="3" customFormat="1" ht="60" customHeight="1">
      <c r="A34" s="45" t="s">
        <v>71</v>
      </c>
      <c r="B34" s="10" t="s">
        <v>6</v>
      </c>
      <c r="C34" s="10" t="s">
        <v>11</v>
      </c>
      <c r="D34" s="10" t="s">
        <v>109</v>
      </c>
      <c r="E34" s="55" t="s">
        <v>70</v>
      </c>
      <c r="F34" s="11"/>
      <c r="G34" s="26">
        <f>1482.098+6.774+11.2+2.7+86.88+2.55</f>
        <v>1592.202</v>
      </c>
      <c r="H34" s="26">
        <v>420</v>
      </c>
      <c r="I34" s="102">
        <v>425</v>
      </c>
      <c r="J34" s="46">
        <v>1409.737</v>
      </c>
      <c r="K34" s="107">
        <f>G34-J34</f>
        <v>182.46499999999992</v>
      </c>
    </row>
    <row r="35" spans="1:11" s="3" customFormat="1" ht="60" customHeight="1">
      <c r="A35" s="40" t="s">
        <v>98</v>
      </c>
      <c r="B35" s="10" t="s">
        <v>6</v>
      </c>
      <c r="C35" s="10" t="s">
        <v>11</v>
      </c>
      <c r="D35" s="10" t="s">
        <v>109</v>
      </c>
      <c r="E35" s="55" t="s">
        <v>96</v>
      </c>
      <c r="F35" s="11"/>
      <c r="G35" s="26">
        <f>1.307</f>
        <v>1.307</v>
      </c>
      <c r="H35" s="26">
        <f>1.307</f>
        <v>1.307</v>
      </c>
      <c r="I35" s="26">
        <f>1.307</f>
        <v>1.307</v>
      </c>
      <c r="J35" s="46"/>
      <c r="K35" s="107"/>
    </row>
    <row r="36" spans="1:11" s="3" customFormat="1" ht="44.25" customHeight="1">
      <c r="A36" s="123" t="s">
        <v>217</v>
      </c>
      <c r="B36" s="10" t="s">
        <v>6</v>
      </c>
      <c r="C36" s="10" t="s">
        <v>11</v>
      </c>
      <c r="D36" s="10" t="s">
        <v>109</v>
      </c>
      <c r="E36" s="55" t="s">
        <v>216</v>
      </c>
      <c r="F36" s="11"/>
      <c r="G36" s="26">
        <v>7</v>
      </c>
      <c r="H36" s="26"/>
      <c r="I36" s="102"/>
      <c r="J36" s="46"/>
      <c r="K36" s="107"/>
    </row>
    <row r="37" spans="1:11" s="3" customFormat="1" ht="31.5">
      <c r="A37" s="45" t="s">
        <v>72</v>
      </c>
      <c r="B37" s="10" t="s">
        <v>6</v>
      </c>
      <c r="C37" s="10" t="s">
        <v>11</v>
      </c>
      <c r="D37" s="10" t="s">
        <v>109</v>
      </c>
      <c r="E37" s="55" t="s">
        <v>74</v>
      </c>
      <c r="F37" s="11"/>
      <c r="G37" s="26"/>
      <c r="H37" s="26"/>
      <c r="I37" s="102"/>
      <c r="J37" s="46"/>
      <c r="K37" s="107"/>
    </row>
    <row r="38" spans="1:11" s="3" customFormat="1" ht="19.5" customHeight="1">
      <c r="A38" s="40" t="s">
        <v>79</v>
      </c>
      <c r="B38" s="10" t="s">
        <v>6</v>
      </c>
      <c r="C38" s="10" t="s">
        <v>11</v>
      </c>
      <c r="D38" s="10" t="s">
        <v>109</v>
      </c>
      <c r="E38" s="55" t="s">
        <v>82</v>
      </c>
      <c r="F38" s="11"/>
      <c r="G38" s="26">
        <v>32.556</v>
      </c>
      <c r="H38" s="26"/>
      <c r="I38" s="102"/>
      <c r="J38" s="46"/>
      <c r="K38" s="107"/>
    </row>
    <row r="39" spans="1:11" s="3" customFormat="1" ht="15.75">
      <c r="A39" s="40" t="s">
        <v>203</v>
      </c>
      <c r="B39" s="10" t="s">
        <v>6</v>
      </c>
      <c r="C39" s="10" t="s">
        <v>11</v>
      </c>
      <c r="D39" s="10" t="s">
        <v>109</v>
      </c>
      <c r="E39" s="55" t="s">
        <v>201</v>
      </c>
      <c r="F39" s="11"/>
      <c r="G39" s="26">
        <f>50+0.083+35</f>
        <v>85.083</v>
      </c>
      <c r="H39" s="26"/>
      <c r="I39" s="102"/>
      <c r="J39" s="46"/>
      <c r="K39" s="107"/>
    </row>
    <row r="40" spans="1:11" s="3" customFormat="1" ht="47.25">
      <c r="A40" s="40" t="s">
        <v>243</v>
      </c>
      <c r="B40" s="10" t="s">
        <v>6</v>
      </c>
      <c r="C40" s="10" t="s">
        <v>11</v>
      </c>
      <c r="D40" s="10" t="s">
        <v>110</v>
      </c>
      <c r="E40" s="10"/>
      <c r="F40" s="11"/>
      <c r="G40" s="26">
        <f>G41+G42+G45+G42+G43+G44</f>
        <v>295.2</v>
      </c>
      <c r="H40" s="26">
        <f>H41+H42+H45+H42+H43+H44</f>
        <v>295.2</v>
      </c>
      <c r="I40" s="102">
        <f>I41+I42+I45+I42+I43+I44</f>
        <v>295.2</v>
      </c>
      <c r="J40" s="46"/>
      <c r="K40" s="107"/>
    </row>
    <row r="41" spans="1:11" s="3" customFormat="1" ht="47.25">
      <c r="A41" s="40" t="s">
        <v>64</v>
      </c>
      <c r="B41" s="10" t="s">
        <v>6</v>
      </c>
      <c r="C41" s="10" t="s">
        <v>11</v>
      </c>
      <c r="D41" s="10" t="s">
        <v>110</v>
      </c>
      <c r="E41" s="10" t="s">
        <v>65</v>
      </c>
      <c r="F41" s="11"/>
      <c r="G41" s="26">
        <v>225</v>
      </c>
      <c r="H41" s="26">
        <v>225</v>
      </c>
      <c r="I41" s="102">
        <v>225</v>
      </c>
      <c r="J41" s="46"/>
      <c r="K41" s="107"/>
    </row>
    <row r="42" spans="1:11" s="3" customFormat="1" ht="48.75" customHeight="1" hidden="1">
      <c r="A42" s="40" t="s">
        <v>67</v>
      </c>
      <c r="B42" s="10" t="s">
        <v>6</v>
      </c>
      <c r="C42" s="10" t="s">
        <v>11</v>
      </c>
      <c r="D42" s="10" t="s">
        <v>110</v>
      </c>
      <c r="E42" s="10" t="s">
        <v>69</v>
      </c>
      <c r="F42" s="11"/>
      <c r="G42" s="26"/>
      <c r="H42" s="26"/>
      <c r="I42" s="102"/>
      <c r="J42" s="46"/>
      <c r="K42" s="107"/>
    </row>
    <row r="43" spans="1:11" s="3" customFormat="1" ht="48.75" customHeight="1">
      <c r="A43" s="40" t="s">
        <v>141</v>
      </c>
      <c r="B43" s="10" t="s">
        <v>6</v>
      </c>
      <c r="C43" s="10" t="s">
        <v>11</v>
      </c>
      <c r="D43" s="10" t="s">
        <v>110</v>
      </c>
      <c r="E43" s="10" t="s">
        <v>140</v>
      </c>
      <c r="F43" s="11"/>
      <c r="G43" s="26">
        <v>68</v>
      </c>
      <c r="H43" s="26">
        <v>68</v>
      </c>
      <c r="I43" s="102">
        <v>68</v>
      </c>
      <c r="J43" s="46"/>
      <c r="K43" s="107"/>
    </row>
    <row r="44" spans="1:11" s="3" customFormat="1" ht="48.75" customHeight="1" hidden="1">
      <c r="A44" s="40" t="s">
        <v>192</v>
      </c>
      <c r="B44" s="10" t="s">
        <v>6</v>
      </c>
      <c r="C44" s="10" t="s">
        <v>11</v>
      </c>
      <c r="D44" s="10" t="s">
        <v>110</v>
      </c>
      <c r="E44" s="10" t="s">
        <v>191</v>
      </c>
      <c r="F44" s="11"/>
      <c r="G44" s="26"/>
      <c r="H44" s="26"/>
      <c r="I44" s="102"/>
      <c r="J44" s="46"/>
      <c r="K44" s="107"/>
    </row>
    <row r="45" spans="1:11" s="3" customFormat="1" ht="47.25">
      <c r="A45" s="45" t="s">
        <v>71</v>
      </c>
      <c r="B45" s="10" t="s">
        <v>6</v>
      </c>
      <c r="C45" s="10" t="s">
        <v>11</v>
      </c>
      <c r="D45" s="10" t="s">
        <v>110</v>
      </c>
      <c r="E45" s="55" t="s">
        <v>70</v>
      </c>
      <c r="F45" s="11"/>
      <c r="G45" s="26">
        <v>2.2</v>
      </c>
      <c r="H45" s="26">
        <v>2.2</v>
      </c>
      <c r="I45" s="102">
        <v>2.2</v>
      </c>
      <c r="J45" s="46"/>
      <c r="K45" s="107"/>
    </row>
    <row r="46" spans="1:11" s="3" customFormat="1" ht="31.5">
      <c r="A46" s="40" t="s">
        <v>244</v>
      </c>
      <c r="B46" s="10" t="s">
        <v>6</v>
      </c>
      <c r="C46" s="10" t="s">
        <v>11</v>
      </c>
      <c r="D46" s="10" t="s">
        <v>111</v>
      </c>
      <c r="E46" s="10"/>
      <c r="F46" s="11"/>
      <c r="G46" s="26">
        <f>G50+G47+G48+G49</f>
        <v>661</v>
      </c>
      <c r="H46" s="26">
        <f>H50+H47+H48+H49</f>
        <v>661</v>
      </c>
      <c r="I46" s="102">
        <f>I50+I47+I48+I49</f>
        <v>661</v>
      </c>
      <c r="J46" s="46"/>
      <c r="K46" s="107"/>
    </row>
    <row r="47" spans="1:11" s="3" customFormat="1" ht="47.25">
      <c r="A47" s="51" t="s">
        <v>64</v>
      </c>
      <c r="B47" s="10" t="s">
        <v>6</v>
      </c>
      <c r="C47" s="10" t="s">
        <v>11</v>
      </c>
      <c r="D47" s="10" t="s">
        <v>111</v>
      </c>
      <c r="E47" s="10" t="s">
        <v>65</v>
      </c>
      <c r="F47" s="11"/>
      <c r="G47" s="26">
        <v>500</v>
      </c>
      <c r="H47" s="26">
        <v>500</v>
      </c>
      <c r="I47" s="102">
        <v>500</v>
      </c>
      <c r="J47" s="46"/>
      <c r="K47" s="107"/>
    </row>
    <row r="48" spans="1:11" s="3" customFormat="1" ht="52.5" customHeight="1" hidden="1">
      <c r="A48" s="51" t="s">
        <v>67</v>
      </c>
      <c r="B48" s="10" t="s">
        <v>6</v>
      </c>
      <c r="C48" s="10" t="s">
        <v>11</v>
      </c>
      <c r="D48" s="10" t="s">
        <v>111</v>
      </c>
      <c r="E48" s="10" t="s">
        <v>69</v>
      </c>
      <c r="F48" s="11"/>
      <c r="G48" s="26"/>
      <c r="H48" s="26"/>
      <c r="I48" s="102"/>
      <c r="J48" s="46"/>
      <c r="K48" s="107"/>
    </row>
    <row r="49" spans="1:11" s="3" customFormat="1" ht="52.5" customHeight="1">
      <c r="A49" s="40" t="s">
        <v>141</v>
      </c>
      <c r="B49" s="10" t="s">
        <v>6</v>
      </c>
      <c r="C49" s="10" t="s">
        <v>11</v>
      </c>
      <c r="D49" s="10" t="s">
        <v>111</v>
      </c>
      <c r="E49" s="10" t="s">
        <v>140</v>
      </c>
      <c r="F49" s="11"/>
      <c r="G49" s="26">
        <v>151</v>
      </c>
      <c r="H49" s="26">
        <v>151</v>
      </c>
      <c r="I49" s="102">
        <v>151</v>
      </c>
      <c r="J49" s="46"/>
      <c r="K49" s="107"/>
    </row>
    <row r="50" spans="1:11" s="3" customFormat="1" ht="47.25">
      <c r="A50" s="45" t="s">
        <v>71</v>
      </c>
      <c r="B50" s="10" t="s">
        <v>6</v>
      </c>
      <c r="C50" s="10" t="s">
        <v>11</v>
      </c>
      <c r="D50" s="10" t="s">
        <v>111</v>
      </c>
      <c r="E50" s="55" t="s">
        <v>70</v>
      </c>
      <c r="F50" s="11"/>
      <c r="G50" s="26">
        <v>10</v>
      </c>
      <c r="H50" s="26">
        <v>10</v>
      </c>
      <c r="I50" s="102">
        <v>10</v>
      </c>
      <c r="J50" s="46"/>
      <c r="K50" s="107"/>
    </row>
    <row r="51" spans="1:11" s="3" customFormat="1" ht="63">
      <c r="A51" s="40" t="s">
        <v>245</v>
      </c>
      <c r="B51" s="10" t="s">
        <v>6</v>
      </c>
      <c r="C51" s="10" t="s">
        <v>11</v>
      </c>
      <c r="D51" s="10" t="s">
        <v>112</v>
      </c>
      <c r="E51" s="10"/>
      <c r="F51" s="11"/>
      <c r="G51" s="26">
        <f>G55+G52+G53+G54</f>
        <v>314.1</v>
      </c>
      <c r="H51" s="26">
        <f>H55+H52+H53+H54</f>
        <v>314.1</v>
      </c>
      <c r="I51" s="102">
        <f>I55+I52+I53+I54</f>
        <v>314.1</v>
      </c>
      <c r="J51" s="46"/>
      <c r="K51" s="107"/>
    </row>
    <row r="52" spans="1:11" s="3" customFormat="1" ht="47.25">
      <c r="A52" s="51" t="s">
        <v>64</v>
      </c>
      <c r="B52" s="10" t="s">
        <v>6</v>
      </c>
      <c r="C52" s="10" t="s">
        <v>11</v>
      </c>
      <c r="D52" s="10" t="s">
        <v>112</v>
      </c>
      <c r="E52" s="10" t="s">
        <v>65</v>
      </c>
      <c r="F52" s="11"/>
      <c r="G52" s="26">
        <v>233.8</v>
      </c>
      <c r="H52" s="26">
        <v>233.8</v>
      </c>
      <c r="I52" s="102">
        <v>233.8</v>
      </c>
      <c r="J52" s="46"/>
      <c r="K52" s="107"/>
    </row>
    <row r="53" spans="1:11" s="3" customFormat="1" ht="49.5" customHeight="1" hidden="1">
      <c r="A53" s="51" t="s">
        <v>67</v>
      </c>
      <c r="B53" s="10" t="s">
        <v>6</v>
      </c>
      <c r="C53" s="10" t="s">
        <v>11</v>
      </c>
      <c r="D53" s="10" t="s">
        <v>112</v>
      </c>
      <c r="E53" s="10" t="s">
        <v>69</v>
      </c>
      <c r="F53" s="11"/>
      <c r="G53" s="26"/>
      <c r="H53" s="26"/>
      <c r="I53" s="102"/>
      <c r="J53" s="46"/>
      <c r="K53" s="107"/>
    </row>
    <row r="54" spans="1:11" s="3" customFormat="1" ht="49.5" customHeight="1">
      <c r="A54" s="40" t="s">
        <v>141</v>
      </c>
      <c r="B54" s="10" t="s">
        <v>6</v>
      </c>
      <c r="C54" s="10" t="s">
        <v>11</v>
      </c>
      <c r="D54" s="10" t="s">
        <v>112</v>
      </c>
      <c r="E54" s="10" t="s">
        <v>140</v>
      </c>
      <c r="F54" s="11"/>
      <c r="G54" s="26">
        <v>70.6</v>
      </c>
      <c r="H54" s="26">
        <v>70.6</v>
      </c>
      <c r="I54" s="102">
        <v>70.6</v>
      </c>
      <c r="J54" s="46"/>
      <c r="K54" s="107"/>
    </row>
    <row r="55" spans="1:11" s="3" customFormat="1" ht="47.25">
      <c r="A55" s="45" t="s">
        <v>71</v>
      </c>
      <c r="B55" s="10" t="s">
        <v>6</v>
      </c>
      <c r="C55" s="10" t="s">
        <v>11</v>
      </c>
      <c r="D55" s="10" t="s">
        <v>112</v>
      </c>
      <c r="E55" s="55" t="s">
        <v>70</v>
      </c>
      <c r="F55" s="11"/>
      <c r="G55" s="26">
        <v>9.7</v>
      </c>
      <c r="H55" s="26">
        <v>9.7</v>
      </c>
      <c r="I55" s="102">
        <v>9.7</v>
      </c>
      <c r="J55" s="46"/>
      <c r="K55" s="107"/>
    </row>
    <row r="56" spans="1:11" s="3" customFormat="1" ht="63">
      <c r="A56" s="40" t="s">
        <v>246</v>
      </c>
      <c r="B56" s="10" t="s">
        <v>6</v>
      </c>
      <c r="C56" s="10" t="s">
        <v>11</v>
      </c>
      <c r="D56" s="10" t="s">
        <v>113</v>
      </c>
      <c r="E56" s="10"/>
      <c r="F56" s="11"/>
      <c r="G56" s="26">
        <f>G59+G57+G58</f>
        <v>270.6</v>
      </c>
      <c r="H56" s="26">
        <f>H59+H57+H58</f>
        <v>270.6</v>
      </c>
      <c r="I56" s="102">
        <f>I59+I57+I58</f>
        <v>270.6</v>
      </c>
      <c r="J56" s="46"/>
      <c r="K56" s="107"/>
    </row>
    <row r="57" spans="1:11" s="3" customFormat="1" ht="47.25" hidden="1">
      <c r="A57" s="51" t="s">
        <v>64</v>
      </c>
      <c r="B57" s="10" t="s">
        <v>6</v>
      </c>
      <c r="C57" s="10" t="s">
        <v>11</v>
      </c>
      <c r="D57" s="10" t="s">
        <v>113</v>
      </c>
      <c r="E57" s="10" t="s">
        <v>65</v>
      </c>
      <c r="F57" s="11"/>
      <c r="G57" s="26"/>
      <c r="H57" s="26"/>
      <c r="I57" s="102"/>
      <c r="J57" s="46"/>
      <c r="K57" s="107"/>
    </row>
    <row r="58" spans="1:11" s="3" customFormat="1" ht="51.75" customHeight="1" hidden="1">
      <c r="A58" s="40" t="s">
        <v>141</v>
      </c>
      <c r="B58" s="10" t="s">
        <v>6</v>
      </c>
      <c r="C58" s="10" t="s">
        <v>11</v>
      </c>
      <c r="D58" s="10" t="s">
        <v>113</v>
      </c>
      <c r="E58" s="10" t="s">
        <v>140</v>
      </c>
      <c r="F58" s="11"/>
      <c r="G58" s="26"/>
      <c r="H58" s="26"/>
      <c r="I58" s="102"/>
      <c r="J58" s="46"/>
      <c r="K58" s="107"/>
    </row>
    <row r="59" spans="1:11" s="3" customFormat="1" ht="47.25">
      <c r="A59" s="45" t="s">
        <v>71</v>
      </c>
      <c r="B59" s="10" t="s">
        <v>6</v>
      </c>
      <c r="C59" s="10" t="s">
        <v>11</v>
      </c>
      <c r="D59" s="10" t="s">
        <v>113</v>
      </c>
      <c r="E59" s="55" t="s">
        <v>70</v>
      </c>
      <c r="F59" s="11"/>
      <c r="G59" s="26">
        <v>270.6</v>
      </c>
      <c r="H59" s="26">
        <v>270.6</v>
      </c>
      <c r="I59" s="102">
        <v>270.6</v>
      </c>
      <c r="J59" s="46"/>
      <c r="K59" s="107"/>
    </row>
    <row r="60" spans="1:11" s="56" customFormat="1" ht="15.75" customHeight="1">
      <c r="A60" s="49" t="s">
        <v>42</v>
      </c>
      <c r="B60" s="27" t="s">
        <v>6</v>
      </c>
      <c r="C60" s="27" t="s">
        <v>20</v>
      </c>
      <c r="D60" s="27"/>
      <c r="E60" s="27"/>
      <c r="F60" s="28" t="e">
        <f>F61</f>
        <v>#REF!</v>
      </c>
      <c r="G60" s="29">
        <f>G61</f>
        <v>0</v>
      </c>
      <c r="H60" s="29">
        <f>H61</f>
        <v>0</v>
      </c>
      <c r="I60" s="101">
        <f>I61</f>
        <v>0</v>
      </c>
      <c r="J60" s="108"/>
      <c r="K60" s="107"/>
    </row>
    <row r="61" spans="1:11" s="3" customFormat="1" ht="31.5">
      <c r="A61" s="45" t="s">
        <v>63</v>
      </c>
      <c r="B61" s="10" t="s">
        <v>6</v>
      </c>
      <c r="C61" s="10" t="s">
        <v>20</v>
      </c>
      <c r="D61" s="10" t="s">
        <v>108</v>
      </c>
      <c r="E61" s="10"/>
      <c r="F61" s="14" t="e">
        <f>#REF!</f>
        <v>#REF!</v>
      </c>
      <c r="G61" s="15">
        <f aca="true" t="shared" si="2" ref="G61:I62">G62</f>
        <v>0</v>
      </c>
      <c r="H61" s="15">
        <f t="shared" si="2"/>
        <v>0</v>
      </c>
      <c r="I61" s="105">
        <f t="shared" si="2"/>
        <v>0</v>
      </c>
      <c r="J61" s="46"/>
      <c r="K61" s="107"/>
    </row>
    <row r="62" spans="1:11" s="3" customFormat="1" ht="78.75">
      <c r="A62" s="63" t="s">
        <v>247</v>
      </c>
      <c r="B62" s="19" t="s">
        <v>6</v>
      </c>
      <c r="C62" s="19" t="s">
        <v>20</v>
      </c>
      <c r="D62" s="19" t="s">
        <v>186</v>
      </c>
      <c r="E62" s="19"/>
      <c r="F62" s="21"/>
      <c r="G62" s="15">
        <f t="shared" si="2"/>
        <v>0</v>
      </c>
      <c r="H62" s="15">
        <f t="shared" si="2"/>
        <v>0</v>
      </c>
      <c r="I62" s="105">
        <f t="shared" si="2"/>
        <v>0</v>
      </c>
      <c r="J62" s="46"/>
      <c r="K62" s="107"/>
    </row>
    <row r="63" spans="1:11" s="3" customFormat="1" ht="47.25">
      <c r="A63" s="45" t="s">
        <v>71</v>
      </c>
      <c r="B63" s="19" t="s">
        <v>6</v>
      </c>
      <c r="C63" s="19" t="s">
        <v>20</v>
      </c>
      <c r="D63" s="19" t="s">
        <v>186</v>
      </c>
      <c r="E63" s="19" t="s">
        <v>70</v>
      </c>
      <c r="F63" s="21"/>
      <c r="G63" s="15"/>
      <c r="H63" s="15"/>
      <c r="I63" s="105"/>
      <c r="J63" s="46"/>
      <c r="K63" s="107"/>
    </row>
    <row r="64" spans="1:11" s="56" customFormat="1" ht="65.25" customHeight="1">
      <c r="A64" s="49" t="s">
        <v>50</v>
      </c>
      <c r="B64" s="27" t="s">
        <v>6</v>
      </c>
      <c r="C64" s="27" t="s">
        <v>26</v>
      </c>
      <c r="D64" s="27"/>
      <c r="E64" s="27"/>
      <c r="F64" s="28" t="e">
        <f>#REF!</f>
        <v>#REF!</v>
      </c>
      <c r="G64" s="29">
        <f>G65+G78</f>
        <v>4948.698</v>
      </c>
      <c r="H64" s="29">
        <f>H65+H78</f>
        <v>4148.001</v>
      </c>
      <c r="I64" s="101">
        <f>I65+I78</f>
        <v>4153.001</v>
      </c>
      <c r="J64" s="108"/>
      <c r="K64" s="107"/>
    </row>
    <row r="65" spans="1:11" s="56" customFormat="1" ht="31.5">
      <c r="A65" s="45" t="s">
        <v>63</v>
      </c>
      <c r="B65" s="10" t="s">
        <v>6</v>
      </c>
      <c r="C65" s="10" t="s">
        <v>26</v>
      </c>
      <c r="D65" s="10" t="s">
        <v>108</v>
      </c>
      <c r="E65" s="27"/>
      <c r="F65" s="28"/>
      <c r="G65" s="26">
        <f>G66+G74</f>
        <v>4592.9980000000005</v>
      </c>
      <c r="H65" s="26">
        <f>H66+H74</f>
        <v>4148.001</v>
      </c>
      <c r="I65" s="102">
        <f>I66+I74</f>
        <v>4153.001</v>
      </c>
      <c r="J65" s="108"/>
      <c r="K65" s="107"/>
    </row>
    <row r="66" spans="1:11" s="56" customFormat="1" ht="47.25">
      <c r="A66" s="45" t="s">
        <v>66</v>
      </c>
      <c r="B66" s="10" t="s">
        <v>6</v>
      </c>
      <c r="C66" s="10" t="s">
        <v>26</v>
      </c>
      <c r="D66" s="10" t="s">
        <v>109</v>
      </c>
      <c r="E66" s="10"/>
      <c r="F66" s="28"/>
      <c r="G66" s="26">
        <f>G67+G68+G70+G72+G71+G69+G73</f>
        <v>3735.6020000000003</v>
      </c>
      <c r="H66" s="26">
        <f>H67+H68+H70+H72+H71+H69+H73</f>
        <v>3308</v>
      </c>
      <c r="I66" s="102">
        <f>I67+I68+I70+I72+I71+I69+I73</f>
        <v>3313</v>
      </c>
      <c r="J66" s="108"/>
      <c r="K66" s="107"/>
    </row>
    <row r="67" spans="1:11" s="56" customFormat="1" ht="47.25">
      <c r="A67" s="40" t="s">
        <v>64</v>
      </c>
      <c r="B67" s="10" t="s">
        <v>6</v>
      </c>
      <c r="C67" s="10" t="s">
        <v>26</v>
      </c>
      <c r="D67" s="10" t="s">
        <v>109</v>
      </c>
      <c r="E67" s="55" t="s">
        <v>65</v>
      </c>
      <c r="F67" s="28"/>
      <c r="G67" s="26">
        <f>2508.8+263.212-6</f>
        <v>2766.012</v>
      </c>
      <c r="H67" s="26">
        <f>2500</f>
        <v>2500</v>
      </c>
      <c r="I67" s="102">
        <f>2500</f>
        <v>2500</v>
      </c>
      <c r="J67" s="108"/>
      <c r="K67" s="107"/>
    </row>
    <row r="68" spans="1:11" s="56" customFormat="1" ht="53.25" customHeight="1">
      <c r="A68" s="40" t="s">
        <v>67</v>
      </c>
      <c r="B68" s="10" t="s">
        <v>6</v>
      </c>
      <c r="C68" s="10" t="s">
        <v>26</v>
      </c>
      <c r="D68" s="10" t="s">
        <v>109</v>
      </c>
      <c r="E68" s="55" t="s">
        <v>69</v>
      </c>
      <c r="F68" s="28"/>
      <c r="G68" s="26">
        <f>0.6</f>
        <v>0.6</v>
      </c>
      <c r="H68" s="26">
        <v>13</v>
      </c>
      <c r="I68" s="102">
        <v>13</v>
      </c>
      <c r="J68" s="108"/>
      <c r="K68" s="107"/>
    </row>
    <row r="69" spans="1:11" s="56" customFormat="1" ht="53.25" customHeight="1">
      <c r="A69" s="40" t="s">
        <v>141</v>
      </c>
      <c r="B69" s="10" t="s">
        <v>6</v>
      </c>
      <c r="C69" s="10" t="s">
        <v>26</v>
      </c>
      <c r="D69" s="10" t="s">
        <v>109</v>
      </c>
      <c r="E69" s="55" t="s">
        <v>140</v>
      </c>
      <c r="F69" s="28"/>
      <c r="G69" s="26">
        <f>757.7+79.49</f>
        <v>837.19</v>
      </c>
      <c r="H69" s="26">
        <f>750</f>
        <v>750</v>
      </c>
      <c r="I69" s="102">
        <f>750</f>
        <v>750</v>
      </c>
      <c r="J69" s="108"/>
      <c r="K69" s="107"/>
    </row>
    <row r="70" spans="1:11" s="56" customFormat="1" ht="47.25">
      <c r="A70" s="45" t="s">
        <v>71</v>
      </c>
      <c r="B70" s="10" t="s">
        <v>6</v>
      </c>
      <c r="C70" s="10" t="s">
        <v>26</v>
      </c>
      <c r="D70" s="10" t="s">
        <v>109</v>
      </c>
      <c r="E70" s="55" t="s">
        <v>70</v>
      </c>
      <c r="F70" s="28"/>
      <c r="G70" s="26">
        <f>105.6+19.2+1+3+3</f>
        <v>131.8</v>
      </c>
      <c r="H70" s="26">
        <f>35+10</f>
        <v>45</v>
      </c>
      <c r="I70" s="102">
        <v>50</v>
      </c>
      <c r="J70" s="108"/>
      <c r="K70" s="107"/>
    </row>
    <row r="71" spans="1:11" s="56" customFormat="1" ht="31.5" hidden="1">
      <c r="A71" s="45" t="s">
        <v>72</v>
      </c>
      <c r="B71" s="10" t="s">
        <v>6</v>
      </c>
      <c r="C71" s="10" t="s">
        <v>26</v>
      </c>
      <c r="D71" s="10" t="s">
        <v>109</v>
      </c>
      <c r="E71" s="55" t="s">
        <v>74</v>
      </c>
      <c r="F71" s="28"/>
      <c r="G71" s="26"/>
      <c r="H71" s="26"/>
      <c r="I71" s="102"/>
      <c r="J71" s="108"/>
      <c r="K71" s="107"/>
    </row>
    <row r="72" spans="1:11" s="56" customFormat="1" ht="31.5" hidden="1">
      <c r="A72" s="45" t="s">
        <v>79</v>
      </c>
      <c r="B72" s="10" t="s">
        <v>6</v>
      </c>
      <c r="C72" s="10" t="s">
        <v>26</v>
      </c>
      <c r="D72" s="10" t="s">
        <v>109</v>
      </c>
      <c r="E72" s="55" t="s">
        <v>82</v>
      </c>
      <c r="F72" s="28"/>
      <c r="G72" s="26"/>
      <c r="H72" s="26"/>
      <c r="I72" s="102"/>
      <c r="J72" s="108"/>
      <c r="K72" s="107"/>
    </row>
    <row r="73" spans="1:11" s="56" customFormat="1" ht="15.75" hidden="1">
      <c r="A73" s="65" t="s">
        <v>203</v>
      </c>
      <c r="B73" s="10" t="s">
        <v>6</v>
      </c>
      <c r="C73" s="10" t="s">
        <v>26</v>
      </c>
      <c r="D73" s="10" t="s">
        <v>109</v>
      </c>
      <c r="E73" s="55" t="s">
        <v>201</v>
      </c>
      <c r="F73" s="28"/>
      <c r="G73" s="26"/>
      <c r="H73" s="26"/>
      <c r="I73" s="102"/>
      <c r="J73" s="108"/>
      <c r="K73" s="107"/>
    </row>
    <row r="74" spans="1:11" s="56" customFormat="1" ht="31.5">
      <c r="A74" s="60" t="s">
        <v>51</v>
      </c>
      <c r="B74" s="10" t="s">
        <v>6</v>
      </c>
      <c r="C74" s="10" t="s">
        <v>26</v>
      </c>
      <c r="D74" s="10" t="s">
        <v>114</v>
      </c>
      <c r="E74" s="10"/>
      <c r="F74" s="28"/>
      <c r="G74" s="26">
        <f>G75+G76+G77</f>
        <v>857.3960000000001</v>
      </c>
      <c r="H74" s="26">
        <f>H75+H76+H77</f>
        <v>840.001</v>
      </c>
      <c r="I74" s="26">
        <f>I75+I76+I77</f>
        <v>840.001</v>
      </c>
      <c r="J74" s="108"/>
      <c r="K74" s="107"/>
    </row>
    <row r="75" spans="1:11" s="56" customFormat="1" ht="47.25">
      <c r="A75" s="40" t="s">
        <v>64</v>
      </c>
      <c r="B75" s="10" t="s">
        <v>6</v>
      </c>
      <c r="C75" s="10" t="s">
        <v>26</v>
      </c>
      <c r="D75" s="10" t="s">
        <v>114</v>
      </c>
      <c r="E75" s="10" t="s">
        <v>65</v>
      </c>
      <c r="F75" s="28"/>
      <c r="G75" s="26">
        <f>658.522-0.001-1</f>
        <v>657.5210000000001</v>
      </c>
      <c r="H75" s="26">
        <v>650</v>
      </c>
      <c r="I75" s="102">
        <v>650</v>
      </c>
      <c r="J75" s="108"/>
      <c r="K75" s="107"/>
    </row>
    <row r="76" spans="1:11" s="56" customFormat="1" ht="66.75" customHeight="1">
      <c r="A76" s="40" t="s">
        <v>141</v>
      </c>
      <c r="B76" s="10" t="s">
        <v>6</v>
      </c>
      <c r="C76" s="10" t="s">
        <v>26</v>
      </c>
      <c r="D76" s="10" t="s">
        <v>114</v>
      </c>
      <c r="E76" s="10" t="s">
        <v>140</v>
      </c>
      <c r="F76" s="28"/>
      <c r="G76" s="26">
        <v>198.874</v>
      </c>
      <c r="H76" s="26">
        <v>190</v>
      </c>
      <c r="I76" s="102">
        <v>190</v>
      </c>
      <c r="J76" s="108"/>
      <c r="K76" s="107"/>
    </row>
    <row r="77" spans="1:11" s="56" customFormat="1" ht="15.75">
      <c r="A77" s="40" t="s">
        <v>203</v>
      </c>
      <c r="B77" s="10" t="s">
        <v>6</v>
      </c>
      <c r="C77" s="10" t="s">
        <v>26</v>
      </c>
      <c r="D77" s="10" t="s">
        <v>114</v>
      </c>
      <c r="E77" s="10" t="s">
        <v>201</v>
      </c>
      <c r="F77" s="28"/>
      <c r="G77" s="26">
        <f>0.001+1</f>
        <v>1.001</v>
      </c>
      <c r="H77" s="26">
        <v>0.001</v>
      </c>
      <c r="I77" s="26">
        <v>0.001</v>
      </c>
      <c r="J77" s="108"/>
      <c r="K77" s="107"/>
    </row>
    <row r="78" spans="1:11" s="56" customFormat="1" ht="31.5">
      <c r="A78" s="39" t="s">
        <v>73</v>
      </c>
      <c r="B78" s="10" t="s">
        <v>6</v>
      </c>
      <c r="C78" s="10" t="s">
        <v>26</v>
      </c>
      <c r="D78" s="10" t="s">
        <v>115</v>
      </c>
      <c r="E78" s="19"/>
      <c r="F78" s="28"/>
      <c r="G78" s="26">
        <f>G79</f>
        <v>355.70000000000005</v>
      </c>
      <c r="H78" s="26">
        <f>H79</f>
        <v>0</v>
      </c>
      <c r="I78" s="102">
        <f>I79</f>
        <v>0</v>
      </c>
      <c r="J78" s="108"/>
      <c r="K78" s="107"/>
    </row>
    <row r="79" spans="1:11" s="56" customFormat="1" ht="100.5" customHeight="1">
      <c r="A79" s="40" t="s">
        <v>190</v>
      </c>
      <c r="B79" s="10" t="s">
        <v>6</v>
      </c>
      <c r="C79" s="10" t="s">
        <v>26</v>
      </c>
      <c r="D79" s="10" t="s">
        <v>189</v>
      </c>
      <c r="F79" s="28"/>
      <c r="G79" s="26">
        <f>G80+G81+G82+G83</f>
        <v>355.70000000000005</v>
      </c>
      <c r="H79" s="26">
        <f>H80+H81+H82+H83</f>
        <v>0</v>
      </c>
      <c r="I79" s="102">
        <f>I80+I81+I82+I83</f>
        <v>0</v>
      </c>
      <c r="J79" s="108"/>
      <c r="K79" s="107"/>
    </row>
    <row r="80" spans="1:11" s="56" customFormat="1" ht="47.25">
      <c r="A80" s="40" t="s">
        <v>64</v>
      </c>
      <c r="B80" s="10" t="s">
        <v>6</v>
      </c>
      <c r="C80" s="10" t="s">
        <v>26</v>
      </c>
      <c r="D80" s="10" t="s">
        <v>189</v>
      </c>
      <c r="E80" s="10" t="s">
        <v>65</v>
      </c>
      <c r="F80" s="28"/>
      <c r="G80" s="26">
        <f>256+7.3</f>
        <v>263.3</v>
      </c>
      <c r="H80" s="26"/>
      <c r="I80" s="102"/>
      <c r="J80" s="108"/>
      <c r="K80" s="107"/>
    </row>
    <row r="81" spans="1:11" s="56" customFormat="1" ht="48.75" customHeight="1" hidden="1">
      <c r="A81" s="40" t="s">
        <v>67</v>
      </c>
      <c r="B81" s="10" t="s">
        <v>6</v>
      </c>
      <c r="C81" s="10" t="s">
        <v>26</v>
      </c>
      <c r="D81" s="10" t="s">
        <v>189</v>
      </c>
      <c r="E81" s="10" t="s">
        <v>69</v>
      </c>
      <c r="F81" s="28"/>
      <c r="G81" s="26"/>
      <c r="H81" s="26"/>
      <c r="I81" s="102"/>
      <c r="J81" s="108"/>
      <c r="K81" s="107"/>
    </row>
    <row r="82" spans="1:11" s="56" customFormat="1" ht="68.25" customHeight="1">
      <c r="A82" s="40" t="s">
        <v>141</v>
      </c>
      <c r="B82" s="10" t="s">
        <v>6</v>
      </c>
      <c r="C82" s="10" t="s">
        <v>26</v>
      </c>
      <c r="D82" s="10" t="s">
        <v>189</v>
      </c>
      <c r="E82" s="10" t="s">
        <v>140</v>
      </c>
      <c r="F82" s="28"/>
      <c r="G82" s="26">
        <v>77.4</v>
      </c>
      <c r="H82" s="26"/>
      <c r="I82" s="102"/>
      <c r="J82" s="108"/>
      <c r="K82" s="107"/>
    </row>
    <row r="83" spans="1:11" s="56" customFormat="1" ht="47.25">
      <c r="A83" s="45" t="s">
        <v>71</v>
      </c>
      <c r="B83" s="10" t="s">
        <v>6</v>
      </c>
      <c r="C83" s="10" t="s">
        <v>26</v>
      </c>
      <c r="D83" s="10" t="s">
        <v>189</v>
      </c>
      <c r="E83" s="10" t="s">
        <v>70</v>
      </c>
      <c r="F83" s="28"/>
      <c r="G83" s="26">
        <f>10+5</f>
        <v>15</v>
      </c>
      <c r="H83" s="26"/>
      <c r="I83" s="102"/>
      <c r="J83" s="108"/>
      <c r="K83" s="107"/>
    </row>
    <row r="84" spans="1:11" s="53" customFormat="1" ht="15.75" customHeight="1">
      <c r="A84" s="34" t="s">
        <v>15</v>
      </c>
      <c r="B84" s="9" t="s">
        <v>6</v>
      </c>
      <c r="C84" s="9" t="s">
        <v>13</v>
      </c>
      <c r="D84" s="9"/>
      <c r="E84" s="9"/>
      <c r="F84" s="11">
        <f>F85</f>
        <v>39</v>
      </c>
      <c r="G84" s="12">
        <f>G85</f>
        <v>10</v>
      </c>
      <c r="H84" s="12">
        <f>H85</f>
        <v>10</v>
      </c>
      <c r="I84" s="100">
        <f>I85</f>
        <v>10</v>
      </c>
      <c r="J84" s="109"/>
      <c r="K84" s="107"/>
    </row>
    <row r="85" spans="1:11" s="53" customFormat="1" ht="31.5">
      <c r="A85" s="39" t="s">
        <v>73</v>
      </c>
      <c r="B85" s="19" t="s">
        <v>6</v>
      </c>
      <c r="C85" s="19" t="s">
        <v>13</v>
      </c>
      <c r="D85" s="19" t="s">
        <v>115</v>
      </c>
      <c r="E85" s="19"/>
      <c r="F85" s="14">
        <f>F87</f>
        <v>39</v>
      </c>
      <c r="G85" s="15">
        <f aca="true" t="shared" si="3" ref="G85:I86">G86</f>
        <v>10</v>
      </c>
      <c r="H85" s="15">
        <f t="shared" si="3"/>
        <v>10</v>
      </c>
      <c r="I85" s="105">
        <f t="shared" si="3"/>
        <v>10</v>
      </c>
      <c r="J85" s="109"/>
      <c r="K85" s="107"/>
    </row>
    <row r="86" spans="1:11" s="53" customFormat="1" ht="18.75" customHeight="1">
      <c r="A86" s="45" t="s">
        <v>43</v>
      </c>
      <c r="B86" s="19" t="s">
        <v>6</v>
      </c>
      <c r="C86" s="19" t="s">
        <v>13</v>
      </c>
      <c r="D86" s="19" t="s">
        <v>116</v>
      </c>
      <c r="E86" s="19"/>
      <c r="F86" s="14">
        <f>F87</f>
        <v>39</v>
      </c>
      <c r="G86" s="15">
        <f t="shared" si="3"/>
        <v>10</v>
      </c>
      <c r="H86" s="15">
        <f t="shared" si="3"/>
        <v>10</v>
      </c>
      <c r="I86" s="105">
        <f t="shared" si="3"/>
        <v>10</v>
      </c>
      <c r="J86" s="109"/>
      <c r="K86" s="107"/>
    </row>
    <row r="87" spans="1:11" s="53" customFormat="1" ht="18" customHeight="1">
      <c r="A87" s="45" t="s">
        <v>219</v>
      </c>
      <c r="B87" s="19" t="s">
        <v>6</v>
      </c>
      <c r="C87" s="19" t="s">
        <v>13</v>
      </c>
      <c r="D87" s="19" t="s">
        <v>116</v>
      </c>
      <c r="E87" s="54" t="s">
        <v>218</v>
      </c>
      <c r="F87" s="14">
        <v>39</v>
      </c>
      <c r="G87" s="15">
        <v>10</v>
      </c>
      <c r="H87" s="15">
        <v>10</v>
      </c>
      <c r="I87" s="105">
        <v>10</v>
      </c>
      <c r="J87" s="109"/>
      <c r="K87" s="107"/>
    </row>
    <row r="88" spans="1:11" s="53" customFormat="1" ht="15.75">
      <c r="A88" s="34" t="s">
        <v>17</v>
      </c>
      <c r="B88" s="9" t="s">
        <v>6</v>
      </c>
      <c r="C88" s="9" t="s">
        <v>52</v>
      </c>
      <c r="D88" s="9"/>
      <c r="E88" s="9"/>
      <c r="F88" s="11" t="e">
        <f>F97+F100+F103+#REF!+#REF!</f>
        <v>#REF!</v>
      </c>
      <c r="G88" s="12">
        <f>G89+G93+G97+G100+G103+G135+G106+G124+G115+G109+G112</f>
        <v>33820.697</v>
      </c>
      <c r="H88" s="12">
        <f>H89+H93+H97+H100+H103+H135+H106+H124+H115+H109+H112</f>
        <v>34056</v>
      </c>
      <c r="I88" s="100">
        <f>I89+I93+I97+I100+I103+I135+I106+I124+I115+I109+I112</f>
        <v>33963.9</v>
      </c>
      <c r="J88" s="109"/>
      <c r="K88" s="107"/>
    </row>
    <row r="89" spans="1:11" s="3" customFormat="1" ht="78.75">
      <c r="A89" s="37" t="s">
        <v>296</v>
      </c>
      <c r="B89" s="19" t="s">
        <v>6</v>
      </c>
      <c r="C89" s="19" t="s">
        <v>52</v>
      </c>
      <c r="D89" s="19" t="s">
        <v>117</v>
      </c>
      <c r="E89" s="19"/>
      <c r="F89" s="14"/>
      <c r="G89" s="15">
        <f>G90</f>
        <v>0</v>
      </c>
      <c r="H89" s="15">
        <f>H90</f>
        <v>0</v>
      </c>
      <c r="I89" s="105">
        <f>I90</f>
        <v>0</v>
      </c>
      <c r="J89" s="46"/>
      <c r="K89" s="107"/>
    </row>
    <row r="90" spans="1:11" s="3" customFormat="1" ht="31.5" customHeight="1">
      <c r="A90" s="40" t="s">
        <v>75</v>
      </c>
      <c r="B90" s="19" t="s">
        <v>6</v>
      </c>
      <c r="C90" s="19" t="s">
        <v>52</v>
      </c>
      <c r="D90" s="19" t="s">
        <v>118</v>
      </c>
      <c r="E90" s="19"/>
      <c r="F90" s="14"/>
      <c r="G90" s="15">
        <f>G91+G92</f>
        <v>0</v>
      </c>
      <c r="H90" s="15">
        <f>H91+H92</f>
        <v>0</v>
      </c>
      <c r="I90" s="105">
        <f>I91+I92</f>
        <v>0</v>
      </c>
      <c r="J90" s="46"/>
      <c r="K90" s="107"/>
    </row>
    <row r="91" spans="1:11" s="3" customFormat="1" ht="31.5" customHeight="1">
      <c r="A91" s="45" t="s">
        <v>71</v>
      </c>
      <c r="B91" s="19" t="s">
        <v>6</v>
      </c>
      <c r="C91" s="19" t="s">
        <v>52</v>
      </c>
      <c r="D91" s="19" t="s">
        <v>118</v>
      </c>
      <c r="E91" s="19" t="s">
        <v>70</v>
      </c>
      <c r="F91" s="14"/>
      <c r="G91" s="15"/>
      <c r="H91" s="15"/>
      <c r="I91" s="105"/>
      <c r="J91" s="46"/>
      <c r="K91" s="107"/>
    </row>
    <row r="92" spans="1:11" s="3" customFormat="1" ht="31.5" customHeight="1">
      <c r="A92" s="68" t="s">
        <v>61</v>
      </c>
      <c r="B92" s="19" t="s">
        <v>6</v>
      </c>
      <c r="C92" s="19" t="s">
        <v>52</v>
      </c>
      <c r="D92" s="19" t="s">
        <v>118</v>
      </c>
      <c r="E92" s="19" t="s">
        <v>60</v>
      </c>
      <c r="F92" s="14"/>
      <c r="G92" s="15"/>
      <c r="H92" s="15"/>
      <c r="I92" s="105"/>
      <c r="J92" s="46"/>
      <c r="K92" s="107"/>
    </row>
    <row r="93" spans="1:11" s="3" customFormat="1" ht="60.75" customHeight="1">
      <c r="A93" s="72" t="s">
        <v>295</v>
      </c>
      <c r="B93" s="19" t="s">
        <v>6</v>
      </c>
      <c r="C93" s="19" t="s">
        <v>52</v>
      </c>
      <c r="D93" s="19" t="s">
        <v>119</v>
      </c>
      <c r="E93" s="19"/>
      <c r="F93" s="14"/>
      <c r="G93" s="15">
        <f>G94</f>
        <v>0</v>
      </c>
      <c r="H93" s="15">
        <f>H94</f>
        <v>0</v>
      </c>
      <c r="I93" s="105">
        <f>I94</f>
        <v>0</v>
      </c>
      <c r="J93" s="46"/>
      <c r="K93" s="107"/>
    </row>
    <row r="94" spans="1:11" s="3" customFormat="1" ht="31.5">
      <c r="A94" s="40" t="s">
        <v>179</v>
      </c>
      <c r="B94" s="19" t="s">
        <v>6</v>
      </c>
      <c r="C94" s="19" t="s">
        <v>52</v>
      </c>
      <c r="D94" s="19" t="s">
        <v>120</v>
      </c>
      <c r="E94" s="19"/>
      <c r="F94" s="14"/>
      <c r="G94" s="15">
        <f>G95+G96</f>
        <v>0</v>
      </c>
      <c r="H94" s="15">
        <f>H95+H96</f>
        <v>0</v>
      </c>
      <c r="I94" s="105">
        <f>I95+I96</f>
        <v>0</v>
      </c>
      <c r="J94" s="46"/>
      <c r="K94" s="107"/>
    </row>
    <row r="95" spans="1:11" s="3" customFormat="1" ht="47.25">
      <c r="A95" s="45" t="s">
        <v>71</v>
      </c>
      <c r="B95" s="19" t="s">
        <v>6</v>
      </c>
      <c r="C95" s="19" t="s">
        <v>52</v>
      </c>
      <c r="D95" s="19" t="s">
        <v>120</v>
      </c>
      <c r="E95" s="19" t="s">
        <v>70</v>
      </c>
      <c r="F95" s="21"/>
      <c r="G95" s="15">
        <f>18-18</f>
        <v>0</v>
      </c>
      <c r="H95" s="15">
        <f>25-25</f>
        <v>0</v>
      </c>
      <c r="I95" s="105"/>
      <c r="J95" s="46"/>
      <c r="K95" s="107"/>
    </row>
    <row r="96" spans="1:11" s="3" customFormat="1" ht="31.5">
      <c r="A96" s="40" t="s">
        <v>61</v>
      </c>
      <c r="B96" s="19" t="s">
        <v>6</v>
      </c>
      <c r="C96" s="19" t="s">
        <v>52</v>
      </c>
      <c r="D96" s="19" t="s">
        <v>120</v>
      </c>
      <c r="E96" s="19" t="s">
        <v>60</v>
      </c>
      <c r="F96" s="21"/>
      <c r="G96" s="15"/>
      <c r="H96" s="15"/>
      <c r="I96" s="105"/>
      <c r="J96" s="46"/>
      <c r="K96" s="107"/>
    </row>
    <row r="97" spans="1:11" s="3" customFormat="1" ht="63">
      <c r="A97" s="73" t="s">
        <v>294</v>
      </c>
      <c r="B97" s="19" t="s">
        <v>6</v>
      </c>
      <c r="C97" s="19" t="s">
        <v>52</v>
      </c>
      <c r="D97" s="19" t="s">
        <v>121</v>
      </c>
      <c r="E97" s="19"/>
      <c r="F97" s="21"/>
      <c r="G97" s="15">
        <f aca="true" t="shared" si="4" ref="G97:I98">G98</f>
        <v>17</v>
      </c>
      <c r="H97" s="15">
        <f t="shared" si="4"/>
        <v>15</v>
      </c>
      <c r="I97" s="105">
        <f t="shared" si="4"/>
        <v>15</v>
      </c>
      <c r="J97" s="107"/>
      <c r="K97" s="107"/>
    </row>
    <row r="98" spans="1:11" s="3" customFormat="1" ht="31.5">
      <c r="A98" s="40" t="s">
        <v>76</v>
      </c>
      <c r="B98" s="23" t="s">
        <v>6</v>
      </c>
      <c r="C98" s="23" t="s">
        <v>52</v>
      </c>
      <c r="D98" s="23" t="s">
        <v>122</v>
      </c>
      <c r="E98" s="23"/>
      <c r="F98" s="21"/>
      <c r="G98" s="15">
        <f t="shared" si="4"/>
        <v>17</v>
      </c>
      <c r="H98" s="15">
        <f t="shared" si="4"/>
        <v>15</v>
      </c>
      <c r="I98" s="105">
        <f t="shared" si="4"/>
        <v>15</v>
      </c>
      <c r="J98" s="46"/>
      <c r="K98" s="107"/>
    </row>
    <row r="99" spans="1:11" s="3" customFormat="1" ht="47.25">
      <c r="A99" s="45" t="s">
        <v>71</v>
      </c>
      <c r="B99" s="19" t="s">
        <v>6</v>
      </c>
      <c r="C99" s="19" t="s">
        <v>52</v>
      </c>
      <c r="D99" s="19" t="s">
        <v>122</v>
      </c>
      <c r="E99" s="19" t="s">
        <v>70</v>
      </c>
      <c r="F99" s="21"/>
      <c r="G99" s="15">
        <v>17</v>
      </c>
      <c r="H99" s="15">
        <v>15</v>
      </c>
      <c r="I99" s="105">
        <v>15</v>
      </c>
      <c r="J99" s="46"/>
      <c r="K99" s="107"/>
    </row>
    <row r="100" spans="1:11" s="3" customFormat="1" ht="94.5">
      <c r="A100" s="71" t="s">
        <v>293</v>
      </c>
      <c r="B100" s="19" t="s">
        <v>6</v>
      </c>
      <c r="C100" s="19" t="s">
        <v>52</v>
      </c>
      <c r="D100" s="19" t="s">
        <v>123</v>
      </c>
      <c r="E100" s="19"/>
      <c r="F100" s="21"/>
      <c r="G100" s="15">
        <f aca="true" t="shared" si="5" ref="G100:I101">G101</f>
        <v>20</v>
      </c>
      <c r="H100" s="15">
        <f t="shared" si="5"/>
        <v>15</v>
      </c>
      <c r="I100" s="105">
        <f t="shared" si="5"/>
        <v>0</v>
      </c>
      <c r="J100" s="46"/>
      <c r="K100" s="107"/>
    </row>
    <row r="101" spans="1:11" s="3" customFormat="1" ht="31.5">
      <c r="A101" s="40" t="s">
        <v>106</v>
      </c>
      <c r="B101" s="19" t="s">
        <v>6</v>
      </c>
      <c r="C101" s="19" t="s">
        <v>52</v>
      </c>
      <c r="D101" s="19" t="s">
        <v>124</v>
      </c>
      <c r="E101" s="19"/>
      <c r="F101" s="21"/>
      <c r="G101" s="15">
        <f t="shared" si="5"/>
        <v>20</v>
      </c>
      <c r="H101" s="15">
        <f t="shared" si="5"/>
        <v>15</v>
      </c>
      <c r="I101" s="105">
        <f t="shared" si="5"/>
        <v>0</v>
      </c>
      <c r="J101" s="46"/>
      <c r="K101" s="107"/>
    </row>
    <row r="102" spans="1:11" s="3" customFormat="1" ht="51" customHeight="1">
      <c r="A102" s="45" t="s">
        <v>71</v>
      </c>
      <c r="B102" s="19" t="s">
        <v>6</v>
      </c>
      <c r="C102" s="19" t="s">
        <v>52</v>
      </c>
      <c r="D102" s="19" t="s">
        <v>124</v>
      </c>
      <c r="E102" s="19" t="s">
        <v>70</v>
      </c>
      <c r="F102" s="21"/>
      <c r="G102" s="15">
        <v>20</v>
      </c>
      <c r="H102" s="15">
        <v>15</v>
      </c>
      <c r="I102" s="105"/>
      <c r="J102" s="46"/>
      <c r="K102" s="107"/>
    </row>
    <row r="103" spans="1:11" s="3" customFormat="1" ht="63">
      <c r="A103" s="74" t="s">
        <v>292</v>
      </c>
      <c r="B103" s="19" t="s">
        <v>6</v>
      </c>
      <c r="C103" s="19" t="s">
        <v>52</v>
      </c>
      <c r="D103" s="19" t="s">
        <v>125</v>
      </c>
      <c r="E103" s="19"/>
      <c r="F103" s="21"/>
      <c r="G103" s="15">
        <f aca="true" t="shared" si="6" ref="G103:I104">G104</f>
        <v>15</v>
      </c>
      <c r="H103" s="15">
        <f t="shared" si="6"/>
        <v>10</v>
      </c>
      <c r="I103" s="105">
        <f t="shared" si="6"/>
        <v>10</v>
      </c>
      <c r="J103" s="46"/>
      <c r="K103" s="107"/>
    </row>
    <row r="104" spans="1:11" s="3" customFormat="1" ht="31.5">
      <c r="A104" s="40" t="s">
        <v>77</v>
      </c>
      <c r="B104" s="19" t="s">
        <v>6</v>
      </c>
      <c r="C104" s="19" t="s">
        <v>52</v>
      </c>
      <c r="D104" s="19" t="s">
        <v>126</v>
      </c>
      <c r="E104" s="19"/>
      <c r="F104" s="21"/>
      <c r="G104" s="15">
        <f t="shared" si="6"/>
        <v>15</v>
      </c>
      <c r="H104" s="15">
        <f t="shared" si="6"/>
        <v>10</v>
      </c>
      <c r="I104" s="105">
        <f t="shared" si="6"/>
        <v>10</v>
      </c>
      <c r="J104" s="46"/>
      <c r="K104" s="107"/>
    </row>
    <row r="105" spans="1:11" s="3" customFormat="1" ht="47.25">
      <c r="A105" s="45" t="s">
        <v>71</v>
      </c>
      <c r="B105" s="19" t="s">
        <v>6</v>
      </c>
      <c r="C105" s="19" t="s">
        <v>52</v>
      </c>
      <c r="D105" s="19" t="s">
        <v>126</v>
      </c>
      <c r="E105" s="19" t="s">
        <v>70</v>
      </c>
      <c r="F105" s="21"/>
      <c r="G105" s="15">
        <v>15</v>
      </c>
      <c r="H105" s="15">
        <v>10</v>
      </c>
      <c r="I105" s="105">
        <v>10</v>
      </c>
      <c r="J105" s="46"/>
      <c r="K105" s="107"/>
    </row>
    <row r="106" spans="1:11" s="3" customFormat="1" ht="63" hidden="1">
      <c r="A106" s="74" t="s">
        <v>291</v>
      </c>
      <c r="B106" s="19" t="s">
        <v>6</v>
      </c>
      <c r="C106" s="19" t="s">
        <v>52</v>
      </c>
      <c r="D106" s="19" t="s">
        <v>127</v>
      </c>
      <c r="E106" s="19"/>
      <c r="F106" s="21"/>
      <c r="G106" s="15">
        <f aca="true" t="shared" si="7" ref="G106:I107">G107</f>
        <v>0</v>
      </c>
      <c r="H106" s="15">
        <f t="shared" si="7"/>
        <v>0</v>
      </c>
      <c r="I106" s="105">
        <f t="shared" si="7"/>
        <v>0</v>
      </c>
      <c r="J106" s="46"/>
      <c r="K106" s="107"/>
    </row>
    <row r="107" spans="1:11" s="3" customFormat="1" ht="31.5" hidden="1">
      <c r="A107" s="51" t="s">
        <v>105</v>
      </c>
      <c r="B107" s="19" t="s">
        <v>6</v>
      </c>
      <c r="C107" s="19" t="s">
        <v>52</v>
      </c>
      <c r="D107" s="19" t="s">
        <v>128</v>
      </c>
      <c r="E107" s="19"/>
      <c r="F107" s="21"/>
      <c r="G107" s="15">
        <f t="shared" si="7"/>
        <v>0</v>
      </c>
      <c r="H107" s="15">
        <f t="shared" si="7"/>
        <v>0</v>
      </c>
      <c r="I107" s="105">
        <f t="shared" si="7"/>
        <v>0</v>
      </c>
      <c r="J107" s="46"/>
      <c r="K107" s="107"/>
    </row>
    <row r="108" spans="1:11" s="3" customFormat="1" ht="47.25" hidden="1">
      <c r="A108" s="45" t="s">
        <v>71</v>
      </c>
      <c r="B108" s="19" t="s">
        <v>6</v>
      </c>
      <c r="C108" s="19" t="s">
        <v>52</v>
      </c>
      <c r="D108" s="19" t="s">
        <v>128</v>
      </c>
      <c r="E108" s="19" t="s">
        <v>70</v>
      </c>
      <c r="F108" s="21"/>
      <c r="G108" s="15"/>
      <c r="H108" s="15"/>
      <c r="I108" s="105"/>
      <c r="J108" s="46"/>
      <c r="K108" s="107"/>
    </row>
    <row r="109" spans="1:11" s="3" customFormat="1" ht="63">
      <c r="A109" s="92" t="s">
        <v>304</v>
      </c>
      <c r="B109" s="19" t="s">
        <v>6</v>
      </c>
      <c r="C109" s="19" t="s">
        <v>52</v>
      </c>
      <c r="D109" s="19" t="s">
        <v>302</v>
      </c>
      <c r="E109" s="19"/>
      <c r="F109" s="21"/>
      <c r="G109" s="15">
        <f aca="true" t="shared" si="8" ref="G109:I110">G110</f>
        <v>18</v>
      </c>
      <c r="H109" s="15">
        <f t="shared" si="8"/>
        <v>25</v>
      </c>
      <c r="I109" s="105">
        <f t="shared" si="8"/>
        <v>0</v>
      </c>
      <c r="J109" s="46"/>
      <c r="K109" s="107"/>
    </row>
    <row r="110" spans="1:11" s="3" customFormat="1" ht="31.5">
      <c r="A110" s="93" t="s">
        <v>179</v>
      </c>
      <c r="B110" s="19" t="s">
        <v>6</v>
      </c>
      <c r="C110" s="19" t="s">
        <v>52</v>
      </c>
      <c r="D110" s="19" t="s">
        <v>303</v>
      </c>
      <c r="E110" s="19"/>
      <c r="F110" s="21"/>
      <c r="G110" s="15">
        <f t="shared" si="8"/>
        <v>18</v>
      </c>
      <c r="H110" s="15">
        <f t="shared" si="8"/>
        <v>25</v>
      </c>
      <c r="I110" s="105">
        <f t="shared" si="8"/>
        <v>0</v>
      </c>
      <c r="J110" s="46"/>
      <c r="K110" s="107"/>
    </row>
    <row r="111" spans="1:11" s="3" customFormat="1" ht="47.25">
      <c r="A111" s="32" t="s">
        <v>71</v>
      </c>
      <c r="B111" s="19" t="s">
        <v>6</v>
      </c>
      <c r="C111" s="19" t="s">
        <v>52</v>
      </c>
      <c r="D111" s="19" t="s">
        <v>303</v>
      </c>
      <c r="E111" s="19" t="s">
        <v>70</v>
      </c>
      <c r="F111" s="21"/>
      <c r="G111" s="15">
        <v>18</v>
      </c>
      <c r="H111" s="15">
        <v>25</v>
      </c>
      <c r="I111" s="105"/>
      <c r="J111" s="46"/>
      <c r="K111" s="107"/>
    </row>
    <row r="112" spans="1:11" s="3" customFormat="1" ht="63">
      <c r="A112" s="94" t="s">
        <v>307</v>
      </c>
      <c r="B112" s="23" t="s">
        <v>6</v>
      </c>
      <c r="C112" s="23" t="s">
        <v>52</v>
      </c>
      <c r="D112" s="23" t="s">
        <v>305</v>
      </c>
      <c r="E112" s="23"/>
      <c r="F112" s="21"/>
      <c r="G112" s="15">
        <f aca="true" t="shared" si="9" ref="G112:I113">G113</f>
        <v>350.142</v>
      </c>
      <c r="H112" s="15">
        <f t="shared" si="9"/>
        <v>200</v>
      </c>
      <c r="I112" s="105">
        <f t="shared" si="9"/>
        <v>0</v>
      </c>
      <c r="J112" s="46"/>
      <c r="K112" s="107"/>
    </row>
    <row r="113" spans="1:11" s="3" customFormat="1" ht="47.25">
      <c r="A113" s="79" t="s">
        <v>308</v>
      </c>
      <c r="B113" s="23" t="s">
        <v>6</v>
      </c>
      <c r="C113" s="23" t="s">
        <v>52</v>
      </c>
      <c r="D113" s="23" t="s">
        <v>306</v>
      </c>
      <c r="E113" s="23"/>
      <c r="F113" s="21"/>
      <c r="G113" s="15">
        <f t="shared" si="9"/>
        <v>350.142</v>
      </c>
      <c r="H113" s="15">
        <f t="shared" si="9"/>
        <v>200</v>
      </c>
      <c r="I113" s="105">
        <f t="shared" si="9"/>
        <v>0</v>
      </c>
      <c r="J113" s="46"/>
      <c r="K113" s="107"/>
    </row>
    <row r="114" spans="1:11" s="3" customFormat="1" ht="47.25">
      <c r="A114" s="45" t="s">
        <v>71</v>
      </c>
      <c r="B114" s="23" t="s">
        <v>6</v>
      </c>
      <c r="C114" s="23" t="s">
        <v>52</v>
      </c>
      <c r="D114" s="23" t="s">
        <v>306</v>
      </c>
      <c r="E114" s="23" t="s">
        <v>70</v>
      </c>
      <c r="F114" s="21"/>
      <c r="G114" s="15">
        <f>350-20+22.614-2.472</f>
        <v>350.142</v>
      </c>
      <c r="H114" s="15">
        <v>200</v>
      </c>
      <c r="I114" s="105"/>
      <c r="J114" s="46"/>
      <c r="K114" s="107"/>
    </row>
    <row r="115" spans="1:11" s="53" customFormat="1" ht="47.25" customHeight="1">
      <c r="A115" s="75" t="s">
        <v>290</v>
      </c>
      <c r="B115" s="19" t="s">
        <v>6</v>
      </c>
      <c r="C115" s="19" t="s">
        <v>52</v>
      </c>
      <c r="D115" s="23" t="s">
        <v>158</v>
      </c>
      <c r="E115" s="23"/>
      <c r="F115" s="11"/>
      <c r="G115" s="26">
        <f>G116</f>
        <v>7264.33</v>
      </c>
      <c r="H115" s="26">
        <f>H116</f>
        <v>6980</v>
      </c>
      <c r="I115" s="102">
        <f>I116</f>
        <v>6982</v>
      </c>
      <c r="J115" s="109"/>
      <c r="K115" s="107"/>
    </row>
    <row r="116" spans="1:11" s="53" customFormat="1" ht="31.5">
      <c r="A116" s="45" t="s">
        <v>209</v>
      </c>
      <c r="B116" s="19" t="s">
        <v>6</v>
      </c>
      <c r="C116" s="19" t="s">
        <v>52</v>
      </c>
      <c r="D116" s="23" t="s">
        <v>159</v>
      </c>
      <c r="E116" s="23"/>
      <c r="F116" s="11"/>
      <c r="G116" s="26">
        <f>G117+G118+G120+G121+G122+G119+G123</f>
        <v>7264.33</v>
      </c>
      <c r="H116" s="26">
        <f>H117+H118+H120+H121+H122+H119+H123</f>
        <v>6980</v>
      </c>
      <c r="I116" s="102">
        <f>I117+I118+I120+I121+I122+I119+I123</f>
        <v>6982</v>
      </c>
      <c r="J116" s="109"/>
      <c r="K116" s="107"/>
    </row>
    <row r="117" spans="1:11" s="53" customFormat="1" ht="15.75">
      <c r="A117" s="79" t="s">
        <v>180</v>
      </c>
      <c r="B117" s="19" t="s">
        <v>6</v>
      </c>
      <c r="C117" s="19" t="s">
        <v>52</v>
      </c>
      <c r="D117" s="23" t="s">
        <v>159</v>
      </c>
      <c r="E117" s="23" t="s">
        <v>81</v>
      </c>
      <c r="F117" s="11"/>
      <c r="G117" s="26">
        <v>5208.4</v>
      </c>
      <c r="H117" s="26">
        <v>5300</v>
      </c>
      <c r="I117" s="102">
        <v>5300</v>
      </c>
      <c r="J117" s="109"/>
      <c r="K117" s="107"/>
    </row>
    <row r="118" spans="1:11" s="53" customFormat="1" ht="47.25">
      <c r="A118" s="79" t="s">
        <v>78</v>
      </c>
      <c r="B118" s="19" t="s">
        <v>6</v>
      </c>
      <c r="C118" s="19" t="s">
        <v>52</v>
      </c>
      <c r="D118" s="23" t="s">
        <v>159</v>
      </c>
      <c r="E118" s="23" t="s">
        <v>62</v>
      </c>
      <c r="F118" s="11"/>
      <c r="G118" s="26">
        <v>1.2</v>
      </c>
      <c r="H118" s="26"/>
      <c r="I118" s="102"/>
      <c r="J118" s="109"/>
      <c r="K118" s="107"/>
    </row>
    <row r="119" spans="1:11" s="53" customFormat="1" ht="63">
      <c r="A119" s="39" t="s">
        <v>181</v>
      </c>
      <c r="B119" s="19" t="s">
        <v>6</v>
      </c>
      <c r="C119" s="19" t="s">
        <v>52</v>
      </c>
      <c r="D119" s="23" t="s">
        <v>159</v>
      </c>
      <c r="E119" s="23" t="s">
        <v>143</v>
      </c>
      <c r="F119" s="11"/>
      <c r="G119" s="26">
        <f>1573-166.5-7-7-4</f>
        <v>1388.5</v>
      </c>
      <c r="H119" s="26">
        <v>1600</v>
      </c>
      <c r="I119" s="102">
        <v>1600</v>
      </c>
      <c r="J119" s="109"/>
      <c r="K119" s="107"/>
    </row>
    <row r="120" spans="1:11" s="53" customFormat="1" ht="47.25">
      <c r="A120" s="79" t="s">
        <v>71</v>
      </c>
      <c r="B120" s="19" t="s">
        <v>6</v>
      </c>
      <c r="C120" s="19" t="s">
        <v>52</v>
      </c>
      <c r="D120" s="23" t="s">
        <v>159</v>
      </c>
      <c r="E120" s="23" t="s">
        <v>70</v>
      </c>
      <c r="F120" s="11"/>
      <c r="G120" s="26">
        <f>614.13+24.1+14+7+4</f>
        <v>663.23</v>
      </c>
      <c r="H120" s="26">
        <v>80</v>
      </c>
      <c r="I120" s="102">
        <v>82</v>
      </c>
      <c r="J120" s="109"/>
      <c r="K120" s="107"/>
    </row>
    <row r="121" spans="1:11" s="53" customFormat="1" ht="31.5">
      <c r="A121" s="80" t="s">
        <v>72</v>
      </c>
      <c r="B121" s="19" t="s">
        <v>6</v>
      </c>
      <c r="C121" s="19" t="s">
        <v>52</v>
      </c>
      <c r="D121" s="23" t="s">
        <v>159</v>
      </c>
      <c r="E121" s="24" t="s">
        <v>74</v>
      </c>
      <c r="F121" s="11"/>
      <c r="G121" s="26"/>
      <c r="H121" s="26"/>
      <c r="I121" s="102"/>
      <c r="J121" s="109"/>
      <c r="K121" s="107"/>
    </row>
    <row r="122" spans="1:11" s="53" customFormat="1" ht="31.5">
      <c r="A122" s="80" t="s">
        <v>79</v>
      </c>
      <c r="B122" s="19" t="s">
        <v>6</v>
      </c>
      <c r="C122" s="19" t="s">
        <v>52</v>
      </c>
      <c r="D122" s="23" t="s">
        <v>159</v>
      </c>
      <c r="E122" s="24" t="s">
        <v>82</v>
      </c>
      <c r="F122" s="11"/>
      <c r="G122" s="26"/>
      <c r="H122" s="26"/>
      <c r="I122" s="102"/>
      <c r="J122" s="109"/>
      <c r="K122" s="107"/>
    </row>
    <row r="123" spans="1:11" s="53" customFormat="1" ht="15.75" customHeight="1">
      <c r="A123" s="76" t="s">
        <v>203</v>
      </c>
      <c r="B123" s="19" t="s">
        <v>6</v>
      </c>
      <c r="C123" s="19" t="s">
        <v>52</v>
      </c>
      <c r="D123" s="23" t="s">
        <v>159</v>
      </c>
      <c r="E123" s="24" t="s">
        <v>201</v>
      </c>
      <c r="F123" s="11"/>
      <c r="G123" s="26">
        <v>3</v>
      </c>
      <c r="H123" s="26"/>
      <c r="I123" s="102"/>
      <c r="J123" s="109"/>
      <c r="K123" s="107"/>
    </row>
    <row r="124" spans="1:11" s="3" customFormat="1" ht="97.5" customHeight="1">
      <c r="A124" s="75" t="s">
        <v>288</v>
      </c>
      <c r="B124" s="19" t="s">
        <v>6</v>
      </c>
      <c r="C124" s="19" t="s">
        <v>52</v>
      </c>
      <c r="D124" s="19" t="s">
        <v>129</v>
      </c>
      <c r="E124" s="19"/>
      <c r="F124" s="21"/>
      <c r="G124" s="15">
        <f>G125</f>
        <v>13036.872000000001</v>
      </c>
      <c r="H124" s="15">
        <f>H125</f>
        <v>13600</v>
      </c>
      <c r="I124" s="105">
        <f>I125</f>
        <v>13700</v>
      </c>
      <c r="J124" s="46"/>
      <c r="K124" s="107"/>
    </row>
    <row r="125" spans="1:11" s="3" customFormat="1" ht="31.5">
      <c r="A125" s="32" t="s">
        <v>210</v>
      </c>
      <c r="B125" s="19" t="s">
        <v>6</v>
      </c>
      <c r="C125" s="19" t="s">
        <v>52</v>
      </c>
      <c r="D125" s="19" t="s">
        <v>185</v>
      </c>
      <c r="E125" s="19"/>
      <c r="F125" s="21"/>
      <c r="G125" s="15">
        <f>G126+G127+G128+G130+G131+G132+G133+G129+I134+G134</f>
        <v>13036.872000000001</v>
      </c>
      <c r="H125" s="15">
        <f>H126+H127+H128+H130+H131+H132+H133+H129</f>
        <v>13600</v>
      </c>
      <c r="I125" s="105">
        <f>I126+I127+I128+I130+I131+I132+I133+I129</f>
        <v>13700</v>
      </c>
      <c r="J125" s="46"/>
      <c r="K125" s="107"/>
    </row>
    <row r="126" spans="1:11" s="3" customFormat="1" ht="15.75">
      <c r="A126" s="65" t="s">
        <v>180</v>
      </c>
      <c r="B126" s="19" t="s">
        <v>6</v>
      </c>
      <c r="C126" s="19" t="s">
        <v>52</v>
      </c>
      <c r="D126" s="19" t="s">
        <v>185</v>
      </c>
      <c r="E126" s="19" t="s">
        <v>81</v>
      </c>
      <c r="F126" s="21"/>
      <c r="G126" s="15">
        <f>7277-1151.9-414.715+414.715</f>
        <v>6125.1</v>
      </c>
      <c r="H126" s="15">
        <v>7500</v>
      </c>
      <c r="I126" s="105">
        <v>7500</v>
      </c>
      <c r="J126" s="46"/>
      <c r="K126" s="107"/>
    </row>
    <row r="127" spans="1:11" s="3" customFormat="1" ht="30.75" customHeight="1">
      <c r="A127" s="65" t="s">
        <v>78</v>
      </c>
      <c r="B127" s="19" t="s">
        <v>6</v>
      </c>
      <c r="C127" s="19" t="s">
        <v>52</v>
      </c>
      <c r="D127" s="19" t="s">
        <v>185</v>
      </c>
      <c r="E127" s="19" t="s">
        <v>62</v>
      </c>
      <c r="F127" s="21"/>
      <c r="G127" s="15">
        <v>3.587</v>
      </c>
      <c r="H127" s="15"/>
      <c r="I127" s="105"/>
      <c r="J127" s="46"/>
      <c r="K127" s="107"/>
    </row>
    <row r="128" spans="1:11" s="3" customFormat="1" ht="63">
      <c r="A128" s="39" t="s">
        <v>181</v>
      </c>
      <c r="B128" s="19" t="s">
        <v>6</v>
      </c>
      <c r="C128" s="19" t="s">
        <v>52</v>
      </c>
      <c r="D128" s="19" t="s">
        <v>185</v>
      </c>
      <c r="E128" s="19" t="s">
        <v>143</v>
      </c>
      <c r="F128" s="21"/>
      <c r="G128" s="15">
        <f>2197.7-600-31.433</f>
        <v>1566.2669999999998</v>
      </c>
      <c r="H128" s="15">
        <v>2200</v>
      </c>
      <c r="I128" s="105">
        <v>2200</v>
      </c>
      <c r="J128" s="46"/>
      <c r="K128" s="107"/>
    </row>
    <row r="129" spans="1:11" s="3" customFormat="1" ht="47.25">
      <c r="A129" s="39" t="s">
        <v>98</v>
      </c>
      <c r="B129" s="19" t="s">
        <v>6</v>
      </c>
      <c r="C129" s="19" t="s">
        <v>52</v>
      </c>
      <c r="D129" s="19" t="s">
        <v>185</v>
      </c>
      <c r="E129" s="19" t="s">
        <v>96</v>
      </c>
      <c r="F129" s="21"/>
      <c r="G129" s="15"/>
      <c r="H129" s="15"/>
      <c r="I129" s="105"/>
      <c r="J129" s="46"/>
      <c r="K129" s="107"/>
    </row>
    <row r="130" spans="1:11" s="3" customFormat="1" ht="47.25">
      <c r="A130" s="65" t="s">
        <v>71</v>
      </c>
      <c r="B130" s="19" t="s">
        <v>6</v>
      </c>
      <c r="C130" s="19" t="s">
        <v>52</v>
      </c>
      <c r="D130" s="19" t="s">
        <v>185</v>
      </c>
      <c r="E130" s="54" t="s">
        <v>70</v>
      </c>
      <c r="F130" s="21"/>
      <c r="G130" s="15">
        <f>4548.933+51.584+2+30+414.715+0.6+6.4+17+8.547+30+75+38.5+47.055</f>
        <v>5270.334</v>
      </c>
      <c r="H130" s="15">
        <v>3900</v>
      </c>
      <c r="I130" s="105">
        <v>4000</v>
      </c>
      <c r="J130" s="46">
        <v>3898.933</v>
      </c>
      <c r="K130" s="107">
        <f>G130-J130</f>
        <v>1371.4009999999998</v>
      </c>
    </row>
    <row r="131" spans="1:11" s="3" customFormat="1" ht="31.5">
      <c r="A131" s="76" t="s">
        <v>72</v>
      </c>
      <c r="B131" s="19" t="s">
        <v>6</v>
      </c>
      <c r="C131" s="19" t="s">
        <v>52</v>
      </c>
      <c r="D131" s="19" t="s">
        <v>185</v>
      </c>
      <c r="E131" s="54" t="s">
        <v>74</v>
      </c>
      <c r="F131" s="21"/>
      <c r="G131" s="15">
        <f>24.549</f>
        <v>24.549</v>
      </c>
      <c r="H131" s="15"/>
      <c r="I131" s="105"/>
      <c r="J131" s="46"/>
      <c r="K131" s="107"/>
    </row>
    <row r="132" spans="1:11" s="3" customFormat="1" ht="31.5">
      <c r="A132" s="76" t="s">
        <v>79</v>
      </c>
      <c r="B132" s="19" t="s">
        <v>6</v>
      </c>
      <c r="C132" s="19" t="s">
        <v>52</v>
      </c>
      <c r="D132" s="19" t="s">
        <v>185</v>
      </c>
      <c r="E132" s="54" t="s">
        <v>82</v>
      </c>
      <c r="F132" s="21"/>
      <c r="G132" s="15"/>
      <c r="H132" s="15"/>
      <c r="I132" s="105"/>
      <c r="J132" s="46"/>
      <c r="K132" s="107"/>
    </row>
    <row r="133" spans="1:11" s="3" customFormat="1" ht="15.75">
      <c r="A133" s="76" t="s">
        <v>203</v>
      </c>
      <c r="B133" s="19" t="s">
        <v>6</v>
      </c>
      <c r="C133" s="19" t="s">
        <v>52</v>
      </c>
      <c r="D133" s="19" t="s">
        <v>185</v>
      </c>
      <c r="E133" s="54" t="s">
        <v>201</v>
      </c>
      <c r="F133" s="21"/>
      <c r="G133" s="15">
        <f>13.1+0.304+31.221+0.205+0.111+0.094</f>
        <v>45.035</v>
      </c>
      <c r="H133" s="15"/>
      <c r="I133" s="105"/>
      <c r="J133" s="46"/>
      <c r="K133" s="107"/>
    </row>
    <row r="134" spans="1:11" s="3" customFormat="1" ht="47.25">
      <c r="A134" s="76" t="s">
        <v>215</v>
      </c>
      <c r="B134" s="19" t="s">
        <v>6</v>
      </c>
      <c r="C134" s="19" t="s">
        <v>52</v>
      </c>
      <c r="D134" s="19" t="s">
        <v>185</v>
      </c>
      <c r="E134" s="54" t="s">
        <v>83</v>
      </c>
      <c r="F134" s="21"/>
      <c r="G134" s="3">
        <f>2</f>
        <v>2</v>
      </c>
      <c r="H134" s="15"/>
      <c r="I134" s="15"/>
      <c r="J134" s="46"/>
      <c r="K134" s="107"/>
    </row>
    <row r="135" spans="1:11" s="3" customFormat="1" ht="31.5">
      <c r="A135" s="39" t="s">
        <v>73</v>
      </c>
      <c r="B135" s="19" t="s">
        <v>6</v>
      </c>
      <c r="C135" s="19" t="s">
        <v>52</v>
      </c>
      <c r="D135" s="19" t="s">
        <v>115</v>
      </c>
      <c r="E135" s="54"/>
      <c r="F135" s="21"/>
      <c r="G135" s="15">
        <f>G136+G145+G151+G140+G147+G138+G154+G149+G156</f>
        <v>13099.353</v>
      </c>
      <c r="H135" s="15">
        <f>H136+H145+H151+H140+H147+H138+H154+H149+H156</f>
        <v>13211</v>
      </c>
      <c r="I135" s="15">
        <f>I136+I145+I151+I140+I147+I138+I154+I149+I156</f>
        <v>13256.9</v>
      </c>
      <c r="J135" s="46"/>
      <c r="K135" s="107"/>
    </row>
    <row r="136" spans="1:11" s="3" customFormat="1" ht="64.5" customHeight="1">
      <c r="A136" s="64" t="s">
        <v>18</v>
      </c>
      <c r="B136" s="19" t="s">
        <v>6</v>
      </c>
      <c r="C136" s="19" t="s">
        <v>52</v>
      </c>
      <c r="D136" s="19" t="s">
        <v>130</v>
      </c>
      <c r="E136" s="19"/>
      <c r="F136" s="21"/>
      <c r="G136" s="15">
        <f>G137</f>
        <v>118</v>
      </c>
      <c r="H136" s="15">
        <f>H137</f>
        <v>100</v>
      </c>
      <c r="I136" s="105">
        <f>I137</f>
        <v>110</v>
      </c>
      <c r="J136" s="46"/>
      <c r="K136" s="107"/>
    </row>
    <row r="137" spans="1:11" s="3" customFormat="1" ht="47.25">
      <c r="A137" s="45" t="s">
        <v>71</v>
      </c>
      <c r="B137" s="19" t="s">
        <v>6</v>
      </c>
      <c r="C137" s="19" t="s">
        <v>52</v>
      </c>
      <c r="D137" s="19" t="s">
        <v>130</v>
      </c>
      <c r="E137" s="19" t="s">
        <v>70</v>
      </c>
      <c r="F137" s="21"/>
      <c r="G137" s="15">
        <f>160-42</f>
        <v>118</v>
      </c>
      <c r="H137" s="15">
        <v>100</v>
      </c>
      <c r="I137" s="105">
        <v>110</v>
      </c>
      <c r="J137" s="46"/>
      <c r="K137" s="107"/>
    </row>
    <row r="138" spans="1:11" s="3" customFormat="1" ht="35.25" customHeight="1">
      <c r="A138" s="63" t="s">
        <v>333</v>
      </c>
      <c r="B138" s="19" t="s">
        <v>6</v>
      </c>
      <c r="C138" s="19" t="s">
        <v>52</v>
      </c>
      <c r="D138" s="19" t="s">
        <v>334</v>
      </c>
      <c r="E138" s="19"/>
      <c r="F138" s="21"/>
      <c r="G138" s="15">
        <f>G139</f>
        <v>240.8</v>
      </c>
      <c r="H138" s="15">
        <f>H139</f>
        <v>0</v>
      </c>
      <c r="I138" s="105">
        <f>I139</f>
        <v>0</v>
      </c>
      <c r="J138" s="46"/>
      <c r="K138" s="107"/>
    </row>
    <row r="139" spans="1:11" s="3" customFormat="1" ht="47.25">
      <c r="A139" s="45" t="s">
        <v>71</v>
      </c>
      <c r="B139" s="19" t="s">
        <v>6</v>
      </c>
      <c r="C139" s="19" t="s">
        <v>52</v>
      </c>
      <c r="D139" s="19" t="s">
        <v>334</v>
      </c>
      <c r="E139" s="19" t="s">
        <v>70</v>
      </c>
      <c r="F139" s="21"/>
      <c r="G139" s="15">
        <v>240.8</v>
      </c>
      <c r="H139" s="15"/>
      <c r="I139" s="105"/>
      <c r="J139" s="46"/>
      <c r="K139" s="107"/>
    </row>
    <row r="140" spans="1:11" s="3" customFormat="1" ht="110.25">
      <c r="A140" s="63" t="s">
        <v>248</v>
      </c>
      <c r="B140" s="19" t="s">
        <v>6</v>
      </c>
      <c r="C140" s="19" t="s">
        <v>52</v>
      </c>
      <c r="D140" s="19" t="s">
        <v>131</v>
      </c>
      <c r="E140" s="19"/>
      <c r="F140" s="21"/>
      <c r="G140" s="15">
        <f>G141+G142+G144+G143</f>
        <v>1874.5</v>
      </c>
      <c r="H140" s="15">
        <f>H141+H142+H144+H143</f>
        <v>1073</v>
      </c>
      <c r="I140" s="105">
        <f>I141+I142+I144+I143</f>
        <v>1108.9</v>
      </c>
      <c r="J140" s="46"/>
      <c r="K140" s="107"/>
    </row>
    <row r="141" spans="1:11" s="3" customFormat="1" ht="31.5">
      <c r="A141" s="40" t="s">
        <v>139</v>
      </c>
      <c r="B141" s="19" t="s">
        <v>6</v>
      </c>
      <c r="C141" s="19" t="s">
        <v>52</v>
      </c>
      <c r="D141" s="19" t="s">
        <v>131</v>
      </c>
      <c r="E141" s="19" t="s">
        <v>65</v>
      </c>
      <c r="F141" s="21"/>
      <c r="G141" s="15">
        <f>1355.2-1.258</f>
        <v>1353.942</v>
      </c>
      <c r="H141" s="15">
        <v>686</v>
      </c>
      <c r="I141" s="105">
        <v>686</v>
      </c>
      <c r="J141" s="46"/>
      <c r="K141" s="107"/>
    </row>
    <row r="142" spans="1:11" s="3" customFormat="1" ht="48" customHeight="1">
      <c r="A142" s="40" t="s">
        <v>67</v>
      </c>
      <c r="B142" s="19" t="s">
        <v>6</v>
      </c>
      <c r="C142" s="19" t="s">
        <v>52</v>
      </c>
      <c r="D142" s="19" t="s">
        <v>131</v>
      </c>
      <c r="E142" s="19" t="s">
        <v>69</v>
      </c>
      <c r="F142" s="21"/>
      <c r="G142" s="15">
        <f>1.258</f>
        <v>1.258</v>
      </c>
      <c r="H142" s="15"/>
      <c r="I142" s="105"/>
      <c r="J142" s="46"/>
      <c r="K142" s="107"/>
    </row>
    <row r="143" spans="1:11" s="3" customFormat="1" ht="48" customHeight="1">
      <c r="A143" s="40" t="s">
        <v>141</v>
      </c>
      <c r="B143" s="19" t="s">
        <v>6</v>
      </c>
      <c r="C143" s="19" t="s">
        <v>52</v>
      </c>
      <c r="D143" s="19" t="s">
        <v>131</v>
      </c>
      <c r="E143" s="19" t="s">
        <v>140</v>
      </c>
      <c r="F143" s="21"/>
      <c r="G143" s="15">
        <v>410</v>
      </c>
      <c r="H143" s="15">
        <v>207</v>
      </c>
      <c r="I143" s="105">
        <v>207</v>
      </c>
      <c r="J143" s="46"/>
      <c r="K143" s="107"/>
    </row>
    <row r="144" spans="1:11" s="3" customFormat="1" ht="47.25">
      <c r="A144" s="45" t="s">
        <v>71</v>
      </c>
      <c r="B144" s="19" t="s">
        <v>6</v>
      </c>
      <c r="C144" s="19" t="s">
        <v>52</v>
      </c>
      <c r="D144" s="19" t="s">
        <v>131</v>
      </c>
      <c r="E144" s="54" t="s">
        <v>70</v>
      </c>
      <c r="F144" s="21"/>
      <c r="G144" s="15">
        <f>98.6+10.7</f>
        <v>109.3</v>
      </c>
      <c r="H144" s="15">
        <v>180</v>
      </c>
      <c r="I144" s="105">
        <v>215.9</v>
      </c>
      <c r="J144" s="46"/>
      <c r="K144" s="107"/>
    </row>
    <row r="145" spans="1:11" s="3" customFormat="1" ht="63" hidden="1">
      <c r="A145" s="40" t="s">
        <v>101</v>
      </c>
      <c r="B145" s="19" t="s">
        <v>6</v>
      </c>
      <c r="C145" s="19" t="s">
        <v>52</v>
      </c>
      <c r="D145" s="19" t="s">
        <v>204</v>
      </c>
      <c r="E145" s="19"/>
      <c r="F145" s="21"/>
      <c r="G145" s="15">
        <f>G146</f>
        <v>0</v>
      </c>
      <c r="H145" s="15">
        <f>H146</f>
        <v>0</v>
      </c>
      <c r="I145" s="105">
        <f>I146</f>
        <v>0</v>
      </c>
      <c r="J145" s="46"/>
      <c r="K145" s="107"/>
    </row>
    <row r="146" spans="1:11" s="3" customFormat="1" ht="47.25" hidden="1">
      <c r="A146" s="45" t="s">
        <v>71</v>
      </c>
      <c r="B146" s="19" t="s">
        <v>6</v>
      </c>
      <c r="C146" s="19" t="s">
        <v>52</v>
      </c>
      <c r="D146" s="19" t="s">
        <v>204</v>
      </c>
      <c r="E146" s="19" t="s">
        <v>70</v>
      </c>
      <c r="F146" s="21"/>
      <c r="G146" s="15"/>
      <c r="H146" s="15"/>
      <c r="I146" s="105"/>
      <c r="J146" s="46"/>
      <c r="K146" s="107"/>
    </row>
    <row r="147" spans="1:11" s="3" customFormat="1" ht="50.25" customHeight="1">
      <c r="A147" s="45" t="s">
        <v>236</v>
      </c>
      <c r="B147" s="23" t="s">
        <v>6</v>
      </c>
      <c r="C147" s="23" t="s">
        <v>52</v>
      </c>
      <c r="D147" s="23" t="s">
        <v>182</v>
      </c>
      <c r="E147" s="23"/>
      <c r="F147" s="21"/>
      <c r="G147" s="15">
        <f>G148</f>
        <v>298.09000000000003</v>
      </c>
      <c r="H147" s="15">
        <f>H148</f>
        <v>0</v>
      </c>
      <c r="I147" s="105">
        <f>I148</f>
        <v>0</v>
      </c>
      <c r="J147" s="46"/>
      <c r="K147" s="107"/>
    </row>
    <row r="148" spans="1:11" s="3" customFormat="1" ht="15.75">
      <c r="A148" s="45" t="s">
        <v>57</v>
      </c>
      <c r="B148" s="23" t="s">
        <v>6</v>
      </c>
      <c r="C148" s="23" t="s">
        <v>52</v>
      </c>
      <c r="D148" s="23" t="s">
        <v>182</v>
      </c>
      <c r="E148" s="23" t="s">
        <v>88</v>
      </c>
      <c r="F148" s="21"/>
      <c r="G148" s="15">
        <f>98.09+200</f>
        <v>298.09000000000003</v>
      </c>
      <c r="H148" s="15"/>
      <c r="I148" s="105"/>
      <c r="J148" s="46"/>
      <c r="K148" s="107"/>
    </row>
    <row r="149" spans="1:11" s="3" customFormat="1" ht="31.5">
      <c r="A149" s="45" t="s">
        <v>170</v>
      </c>
      <c r="B149" s="23" t="s">
        <v>6</v>
      </c>
      <c r="C149" s="23" t="s">
        <v>52</v>
      </c>
      <c r="D149" s="23" t="s">
        <v>171</v>
      </c>
      <c r="E149" s="23"/>
      <c r="F149" s="21"/>
      <c r="G149" s="15">
        <f>G150</f>
        <v>142</v>
      </c>
      <c r="H149" s="15">
        <f>H150</f>
        <v>0</v>
      </c>
      <c r="I149" s="15">
        <f>I150</f>
        <v>0</v>
      </c>
      <c r="J149" s="46"/>
      <c r="K149" s="107"/>
    </row>
    <row r="150" spans="1:11" s="3" customFormat="1" ht="47.25">
      <c r="A150" s="45" t="s">
        <v>71</v>
      </c>
      <c r="B150" s="23" t="s">
        <v>6</v>
      </c>
      <c r="C150" s="23" t="s">
        <v>52</v>
      </c>
      <c r="D150" s="23" t="s">
        <v>171</v>
      </c>
      <c r="E150" s="23" t="s">
        <v>70</v>
      </c>
      <c r="F150" s="21"/>
      <c r="G150" s="15">
        <v>142</v>
      </c>
      <c r="H150" s="15"/>
      <c r="I150" s="105"/>
      <c r="J150" s="46"/>
      <c r="K150" s="107"/>
    </row>
    <row r="151" spans="1:11" s="3" customFormat="1" ht="47.25">
      <c r="A151" s="45" t="s">
        <v>107</v>
      </c>
      <c r="B151" s="19" t="s">
        <v>6</v>
      </c>
      <c r="C151" s="19" t="s">
        <v>52</v>
      </c>
      <c r="D151" s="19" t="s">
        <v>132</v>
      </c>
      <c r="E151" s="19"/>
      <c r="F151" s="21"/>
      <c r="G151" s="15">
        <f>G152+G153</f>
        <v>540.163</v>
      </c>
      <c r="H151" s="15">
        <f>H152+H153</f>
        <v>0</v>
      </c>
      <c r="I151" s="105">
        <f>I152+I153</f>
        <v>0</v>
      </c>
      <c r="J151" s="46"/>
      <c r="K151" s="107"/>
    </row>
    <row r="152" spans="1:11" s="3" customFormat="1" ht="47.25">
      <c r="A152" s="45" t="s">
        <v>71</v>
      </c>
      <c r="B152" s="19" t="s">
        <v>6</v>
      </c>
      <c r="C152" s="19" t="s">
        <v>52</v>
      </c>
      <c r="D152" s="19" t="s">
        <v>132</v>
      </c>
      <c r="E152" s="19" t="s">
        <v>70</v>
      </c>
      <c r="F152" s="21"/>
      <c r="G152" s="15">
        <f>120.728+800-17.857-24.1-0.02-6.774-101.78-319.147-79.698-96.638-0.3-1.307-2.55-164.151-7-27.965+647.834-2-200</f>
        <v>517.275</v>
      </c>
      <c r="H152" s="15"/>
      <c r="I152" s="105"/>
      <c r="J152" s="46"/>
      <c r="K152" s="107"/>
    </row>
    <row r="153" spans="1:11" s="3" customFormat="1" ht="15.75">
      <c r="A153" s="76" t="s">
        <v>203</v>
      </c>
      <c r="B153" s="19" t="s">
        <v>6</v>
      </c>
      <c r="C153" s="19" t="s">
        <v>52</v>
      </c>
      <c r="D153" s="19" t="s">
        <v>132</v>
      </c>
      <c r="E153" s="19" t="s">
        <v>201</v>
      </c>
      <c r="F153" s="21"/>
      <c r="G153" s="15">
        <v>22.888</v>
      </c>
      <c r="H153" s="15"/>
      <c r="I153" s="105"/>
      <c r="J153" s="46"/>
      <c r="K153" s="107"/>
    </row>
    <row r="154" spans="1:11" s="3" customFormat="1" ht="47.25">
      <c r="A154" s="45" t="s">
        <v>249</v>
      </c>
      <c r="B154" s="19" t="s">
        <v>6</v>
      </c>
      <c r="C154" s="19" t="s">
        <v>52</v>
      </c>
      <c r="D154" s="19" t="s">
        <v>309</v>
      </c>
      <c r="E154" s="19"/>
      <c r="F154" s="21"/>
      <c r="G154" s="15">
        <f>G155+G159</f>
        <v>9809</v>
      </c>
      <c r="H154" s="15">
        <f>H155+H159</f>
        <v>12038</v>
      </c>
      <c r="I154" s="15">
        <f>I155+I159</f>
        <v>12038</v>
      </c>
      <c r="J154" s="46"/>
      <c r="K154" s="107"/>
    </row>
    <row r="155" spans="1:11" s="3" customFormat="1" ht="47.25">
      <c r="A155" s="45" t="s">
        <v>71</v>
      </c>
      <c r="B155" s="19" t="s">
        <v>6</v>
      </c>
      <c r="C155" s="19" t="s">
        <v>52</v>
      </c>
      <c r="D155" s="19" t="s">
        <v>309</v>
      </c>
      <c r="E155" s="19" t="s">
        <v>70</v>
      </c>
      <c r="F155" s="21"/>
      <c r="G155" s="15">
        <f>12038-12038</f>
        <v>0</v>
      </c>
      <c r="H155" s="15">
        <v>12038</v>
      </c>
      <c r="I155" s="105">
        <v>12038</v>
      </c>
      <c r="J155" s="46"/>
      <c r="K155" s="107"/>
    </row>
    <row r="156" spans="1:11" s="3" customFormat="1" ht="126">
      <c r="A156" s="45" t="s">
        <v>376</v>
      </c>
      <c r="B156" s="19" t="s">
        <v>6</v>
      </c>
      <c r="C156" s="19" t="s">
        <v>52</v>
      </c>
      <c r="D156" s="19" t="s">
        <v>375</v>
      </c>
      <c r="E156" s="19"/>
      <c r="F156" s="21"/>
      <c r="G156" s="15">
        <f>G157</f>
        <v>76.8</v>
      </c>
      <c r="H156" s="15">
        <f>H157</f>
        <v>0</v>
      </c>
      <c r="I156" s="15">
        <f>I157</f>
        <v>0</v>
      </c>
      <c r="J156" s="46"/>
      <c r="K156" s="107"/>
    </row>
    <row r="157" spans="1:11" s="3" customFormat="1" ht="31.5">
      <c r="A157" s="45" t="s">
        <v>142</v>
      </c>
      <c r="B157" s="19" t="s">
        <v>6</v>
      </c>
      <c r="C157" s="19" t="s">
        <v>52</v>
      </c>
      <c r="D157" s="19" t="s">
        <v>375</v>
      </c>
      <c r="E157" s="19" t="s">
        <v>65</v>
      </c>
      <c r="F157" s="21"/>
      <c r="G157" s="15">
        <f>76.8-17.8+G158</f>
        <v>76.8</v>
      </c>
      <c r="H157" s="15"/>
      <c r="I157" s="105"/>
      <c r="J157" s="46"/>
      <c r="K157" s="107"/>
    </row>
    <row r="158" spans="1:11" s="3" customFormat="1" ht="78.75">
      <c r="A158" s="45" t="s">
        <v>141</v>
      </c>
      <c r="B158" s="19" t="s">
        <v>6</v>
      </c>
      <c r="C158" s="19" t="s">
        <v>52</v>
      </c>
      <c r="D158" s="19" t="s">
        <v>375</v>
      </c>
      <c r="E158" s="19" t="s">
        <v>140</v>
      </c>
      <c r="F158" s="21"/>
      <c r="G158" s="15">
        <v>17.8</v>
      </c>
      <c r="H158" s="15"/>
      <c r="I158" s="105"/>
      <c r="J158" s="46"/>
      <c r="K158" s="107"/>
    </row>
    <row r="159" spans="1:11" s="3" customFormat="1" ht="15.75">
      <c r="A159" s="39" t="s">
        <v>57</v>
      </c>
      <c r="B159" s="19" t="s">
        <v>6</v>
      </c>
      <c r="C159" s="19" t="s">
        <v>52</v>
      </c>
      <c r="D159" s="19" t="s">
        <v>309</v>
      </c>
      <c r="E159" s="19" t="s">
        <v>88</v>
      </c>
      <c r="F159" s="21"/>
      <c r="G159" s="15">
        <v>9809</v>
      </c>
      <c r="H159" s="15"/>
      <c r="I159" s="105"/>
      <c r="J159" s="46"/>
      <c r="K159" s="107"/>
    </row>
    <row r="160" spans="1:11" s="56" customFormat="1" ht="31.5">
      <c r="A160" s="41" t="s">
        <v>19</v>
      </c>
      <c r="B160" s="30" t="s">
        <v>9</v>
      </c>
      <c r="C160" s="30"/>
      <c r="D160" s="30"/>
      <c r="E160" s="30"/>
      <c r="F160" s="28"/>
      <c r="G160" s="29">
        <f aca="true" t="shared" si="10" ref="G160:I163">G161</f>
        <v>10</v>
      </c>
      <c r="H160" s="29">
        <f t="shared" si="10"/>
        <v>10</v>
      </c>
      <c r="I160" s="101">
        <f t="shared" si="10"/>
        <v>10</v>
      </c>
      <c r="J160" s="108"/>
      <c r="K160" s="107"/>
    </row>
    <row r="161" spans="1:11" s="53" customFormat="1" ht="63" customHeight="1">
      <c r="A161" s="41" t="s">
        <v>46</v>
      </c>
      <c r="B161" s="9" t="s">
        <v>9</v>
      </c>
      <c r="C161" s="9" t="s">
        <v>21</v>
      </c>
      <c r="D161" s="9"/>
      <c r="E161" s="9"/>
      <c r="F161" s="11">
        <f>F167+F170</f>
        <v>91.6</v>
      </c>
      <c r="G161" s="12">
        <f t="shared" si="10"/>
        <v>10</v>
      </c>
      <c r="H161" s="12">
        <f t="shared" si="10"/>
        <v>10</v>
      </c>
      <c r="I161" s="100">
        <f t="shared" si="10"/>
        <v>10</v>
      </c>
      <c r="J161" s="109"/>
      <c r="K161" s="107"/>
    </row>
    <row r="162" spans="1:11" s="53" customFormat="1" ht="31.5">
      <c r="A162" s="39" t="s">
        <v>73</v>
      </c>
      <c r="B162" s="19" t="s">
        <v>9</v>
      </c>
      <c r="C162" s="19" t="s">
        <v>21</v>
      </c>
      <c r="D162" s="19" t="s">
        <v>115</v>
      </c>
      <c r="E162" s="19"/>
      <c r="F162" s="11"/>
      <c r="G162" s="26">
        <f>G163+G165</f>
        <v>10</v>
      </c>
      <c r="H162" s="26">
        <f t="shared" si="10"/>
        <v>10</v>
      </c>
      <c r="I162" s="102">
        <f t="shared" si="10"/>
        <v>10</v>
      </c>
      <c r="J162" s="109"/>
      <c r="K162" s="107"/>
    </row>
    <row r="163" spans="1:11" s="53" customFormat="1" ht="48.75" customHeight="1">
      <c r="A163" s="45" t="s">
        <v>84</v>
      </c>
      <c r="B163" s="19" t="s">
        <v>9</v>
      </c>
      <c r="C163" s="19" t="s">
        <v>21</v>
      </c>
      <c r="D163" s="19" t="s">
        <v>133</v>
      </c>
      <c r="E163" s="19"/>
      <c r="F163" s="11"/>
      <c r="G163" s="26">
        <f t="shared" si="10"/>
        <v>10</v>
      </c>
      <c r="H163" s="26">
        <f t="shared" si="10"/>
        <v>10</v>
      </c>
      <c r="I163" s="102">
        <f t="shared" si="10"/>
        <v>10</v>
      </c>
      <c r="J163" s="109"/>
      <c r="K163" s="107"/>
    </row>
    <row r="164" spans="1:11" s="3" customFormat="1" ht="48" customHeight="1">
      <c r="A164" s="45" t="s">
        <v>71</v>
      </c>
      <c r="B164" s="19" t="s">
        <v>9</v>
      </c>
      <c r="C164" s="19" t="s">
        <v>21</v>
      </c>
      <c r="D164" s="19" t="s">
        <v>133</v>
      </c>
      <c r="E164" s="19" t="s">
        <v>70</v>
      </c>
      <c r="F164" s="14" t="e">
        <f>#REF!</f>
        <v>#REF!</v>
      </c>
      <c r="G164" s="15">
        <v>10</v>
      </c>
      <c r="H164" s="15">
        <v>10</v>
      </c>
      <c r="I164" s="105">
        <v>10</v>
      </c>
      <c r="J164" s="46"/>
      <c r="K164" s="107"/>
    </row>
    <row r="165" spans="1:11" s="3" customFormat="1" ht="35.25" customHeight="1">
      <c r="A165" s="61" t="s">
        <v>97</v>
      </c>
      <c r="B165" s="19" t="s">
        <v>9</v>
      </c>
      <c r="C165" s="19" t="s">
        <v>21</v>
      </c>
      <c r="D165" s="19" t="s">
        <v>95</v>
      </c>
      <c r="E165" s="19"/>
      <c r="F165" s="14"/>
      <c r="G165" s="15">
        <f>G166</f>
        <v>0</v>
      </c>
      <c r="H165" s="15">
        <f>H166</f>
        <v>0</v>
      </c>
      <c r="I165" s="105">
        <f>I166</f>
        <v>0</v>
      </c>
      <c r="J165" s="46"/>
      <c r="K165" s="107"/>
    </row>
    <row r="166" spans="1:11" s="3" customFormat="1" ht="48" customHeight="1">
      <c r="A166" s="45" t="s">
        <v>71</v>
      </c>
      <c r="B166" s="19" t="s">
        <v>9</v>
      </c>
      <c r="C166" s="19" t="s">
        <v>21</v>
      </c>
      <c r="D166" s="19" t="s">
        <v>95</v>
      </c>
      <c r="E166" s="19" t="s">
        <v>70</v>
      </c>
      <c r="F166" s="14"/>
      <c r="G166" s="15"/>
      <c r="H166" s="15"/>
      <c r="I166" s="105"/>
      <c r="J166" s="46"/>
      <c r="K166" s="107"/>
    </row>
    <row r="167" spans="1:11" s="53" customFormat="1" ht="17.25" customHeight="1">
      <c r="A167" s="34" t="s">
        <v>45</v>
      </c>
      <c r="B167" s="9" t="s">
        <v>11</v>
      </c>
      <c r="C167" s="9"/>
      <c r="D167" s="9"/>
      <c r="E167" s="9"/>
      <c r="F167" s="11">
        <f>F168+F171</f>
        <v>49.8</v>
      </c>
      <c r="G167" s="12">
        <f>G168+G174+G188</f>
        <v>11848.046</v>
      </c>
      <c r="H167" s="12">
        <f>H168+H174+H188</f>
        <v>11203</v>
      </c>
      <c r="I167" s="100">
        <f>I168+I174+I188</f>
        <v>11270.5</v>
      </c>
      <c r="J167" s="109"/>
      <c r="K167" s="107"/>
    </row>
    <row r="168" spans="1:11" s="56" customFormat="1" ht="15.75">
      <c r="A168" s="41" t="s">
        <v>56</v>
      </c>
      <c r="B168" s="30" t="s">
        <v>11</v>
      </c>
      <c r="C168" s="30" t="s">
        <v>20</v>
      </c>
      <c r="D168" s="30"/>
      <c r="E168" s="30"/>
      <c r="F168" s="28">
        <f>F170</f>
        <v>41.8</v>
      </c>
      <c r="G168" s="29">
        <f>G169</f>
        <v>0</v>
      </c>
      <c r="H168" s="29">
        <f>H169</f>
        <v>0</v>
      </c>
      <c r="I168" s="101">
        <f>I169</f>
        <v>0</v>
      </c>
      <c r="J168" s="108"/>
      <c r="K168" s="107"/>
    </row>
    <row r="169" spans="1:11" s="3" customFormat="1" ht="31.5">
      <c r="A169" s="39" t="s">
        <v>73</v>
      </c>
      <c r="B169" s="23" t="s">
        <v>11</v>
      </c>
      <c r="C169" s="23" t="s">
        <v>20</v>
      </c>
      <c r="D169" s="23" t="s">
        <v>115</v>
      </c>
      <c r="E169" s="23"/>
      <c r="F169" s="14">
        <f>F170</f>
        <v>41.8</v>
      </c>
      <c r="G169" s="15">
        <f>G170+G172</f>
        <v>0</v>
      </c>
      <c r="H169" s="15">
        <f>H170+H172</f>
        <v>0</v>
      </c>
      <c r="I169" s="105">
        <f>I170+I172</f>
        <v>0</v>
      </c>
      <c r="J169" s="46"/>
      <c r="K169" s="107"/>
    </row>
    <row r="170" spans="1:11" s="3" customFormat="1" ht="96" customHeight="1">
      <c r="A170" s="45" t="s">
        <v>250</v>
      </c>
      <c r="B170" s="23" t="s">
        <v>11</v>
      </c>
      <c r="C170" s="23" t="s">
        <v>20</v>
      </c>
      <c r="D170" s="23" t="s">
        <v>183</v>
      </c>
      <c r="E170" s="23"/>
      <c r="F170" s="14">
        <f>165-123.2</f>
        <v>41.8</v>
      </c>
      <c r="G170" s="15">
        <f aca="true" t="shared" si="11" ref="G170:I172">G171</f>
        <v>0</v>
      </c>
      <c r="H170" s="15">
        <f t="shared" si="11"/>
        <v>0</v>
      </c>
      <c r="I170" s="105">
        <f t="shared" si="11"/>
        <v>0</v>
      </c>
      <c r="J170" s="46"/>
      <c r="K170" s="107"/>
    </row>
    <row r="171" spans="1:11" s="3" customFormat="1" ht="47.25">
      <c r="A171" s="45" t="s">
        <v>71</v>
      </c>
      <c r="B171" s="23" t="s">
        <v>11</v>
      </c>
      <c r="C171" s="23" t="s">
        <v>20</v>
      </c>
      <c r="D171" s="23" t="s">
        <v>183</v>
      </c>
      <c r="E171" s="23" t="s">
        <v>70</v>
      </c>
      <c r="F171" s="14">
        <f>F172</f>
        <v>8</v>
      </c>
      <c r="G171" s="15"/>
      <c r="H171" s="15"/>
      <c r="I171" s="105"/>
      <c r="J171" s="46"/>
      <c r="K171" s="107"/>
    </row>
    <row r="172" spans="1:11" s="3" customFormat="1" ht="94.5">
      <c r="A172" s="45" t="s">
        <v>85</v>
      </c>
      <c r="B172" s="23" t="s">
        <v>11</v>
      </c>
      <c r="C172" s="23" t="s">
        <v>20</v>
      </c>
      <c r="D172" s="23" t="s">
        <v>86</v>
      </c>
      <c r="E172" s="23"/>
      <c r="F172" s="14">
        <f>F173</f>
        <v>8</v>
      </c>
      <c r="G172" s="15">
        <f t="shared" si="11"/>
        <v>0</v>
      </c>
      <c r="H172" s="15">
        <f t="shared" si="11"/>
        <v>0</v>
      </c>
      <c r="I172" s="105">
        <f t="shared" si="11"/>
        <v>0</v>
      </c>
      <c r="J172" s="46"/>
      <c r="K172" s="107"/>
    </row>
    <row r="173" spans="1:11" s="3" customFormat="1" ht="47.25">
      <c r="A173" s="45" t="s">
        <v>71</v>
      </c>
      <c r="B173" s="23" t="s">
        <v>11</v>
      </c>
      <c r="C173" s="23" t="s">
        <v>20</v>
      </c>
      <c r="D173" s="23" t="s">
        <v>86</v>
      </c>
      <c r="E173" s="23" t="s">
        <v>70</v>
      </c>
      <c r="F173" s="14">
        <v>8</v>
      </c>
      <c r="G173" s="15">
        <f>320-320</f>
        <v>0</v>
      </c>
      <c r="H173" s="15"/>
      <c r="I173" s="105"/>
      <c r="J173" s="46"/>
      <c r="K173" s="107"/>
    </row>
    <row r="174" spans="1:11" s="53" customFormat="1" ht="15.75">
      <c r="A174" s="34" t="s">
        <v>47</v>
      </c>
      <c r="B174" s="9" t="s">
        <v>11</v>
      </c>
      <c r="C174" s="9" t="s">
        <v>21</v>
      </c>
      <c r="D174" s="9"/>
      <c r="E174" s="9"/>
      <c r="F174" s="11" t="e">
        <f>#REF!</f>
        <v>#REF!</v>
      </c>
      <c r="G174" s="12">
        <f>G175+G178+G186</f>
        <v>11545.046</v>
      </c>
      <c r="H174" s="12">
        <f>H175+H178</f>
        <v>11103</v>
      </c>
      <c r="I174" s="100">
        <f>I175+I178</f>
        <v>11170.5</v>
      </c>
      <c r="J174" s="109"/>
      <c r="K174" s="107"/>
    </row>
    <row r="175" spans="1:11" s="53" customFormat="1" ht="63">
      <c r="A175" s="59" t="s">
        <v>289</v>
      </c>
      <c r="B175" s="23" t="s">
        <v>11</v>
      </c>
      <c r="C175" s="23" t="s">
        <v>21</v>
      </c>
      <c r="D175" s="10" t="s">
        <v>134</v>
      </c>
      <c r="E175" s="10"/>
      <c r="F175" s="10"/>
      <c r="G175" s="26">
        <f aca="true" t="shared" si="12" ref="G175:I176">G176</f>
        <v>1212.7230000000002</v>
      </c>
      <c r="H175" s="26">
        <f t="shared" si="12"/>
        <v>874</v>
      </c>
      <c r="I175" s="102">
        <f t="shared" si="12"/>
        <v>941.5</v>
      </c>
      <c r="J175" s="109"/>
      <c r="K175" s="107"/>
    </row>
    <row r="176" spans="1:11" s="53" customFormat="1" ht="31.5">
      <c r="A176" s="51" t="s">
        <v>94</v>
      </c>
      <c r="B176" s="23" t="s">
        <v>11</v>
      </c>
      <c r="C176" s="23" t="s">
        <v>21</v>
      </c>
      <c r="D176" s="10" t="s">
        <v>135</v>
      </c>
      <c r="E176" s="10"/>
      <c r="F176" s="10"/>
      <c r="G176" s="26">
        <f t="shared" si="12"/>
        <v>1212.7230000000002</v>
      </c>
      <c r="H176" s="26">
        <f t="shared" si="12"/>
        <v>874</v>
      </c>
      <c r="I176" s="102">
        <f t="shared" si="12"/>
        <v>941.5</v>
      </c>
      <c r="J176" s="109"/>
      <c r="K176" s="107"/>
    </row>
    <row r="177" spans="1:11" s="53" customFormat="1" ht="47.25">
      <c r="A177" s="45" t="s">
        <v>71</v>
      </c>
      <c r="B177" s="23" t="s">
        <v>11</v>
      </c>
      <c r="C177" s="23" t="s">
        <v>21</v>
      </c>
      <c r="D177" s="10" t="s">
        <v>135</v>
      </c>
      <c r="E177" s="10" t="s">
        <v>70</v>
      </c>
      <c r="F177" s="10" t="s">
        <v>70</v>
      </c>
      <c r="G177" s="26">
        <f>682.5+378.023+152.2</f>
        <v>1212.7230000000002</v>
      </c>
      <c r="H177" s="26">
        <v>874</v>
      </c>
      <c r="I177" s="102">
        <v>941.5</v>
      </c>
      <c r="J177" s="109"/>
      <c r="K177" s="107"/>
    </row>
    <row r="178" spans="1:11" s="53" customFormat="1" ht="31.5">
      <c r="A178" s="39" t="s">
        <v>73</v>
      </c>
      <c r="B178" s="19" t="s">
        <v>11</v>
      </c>
      <c r="C178" s="19" t="s">
        <v>21</v>
      </c>
      <c r="D178" s="19" t="s">
        <v>115</v>
      </c>
      <c r="E178" s="10"/>
      <c r="F178" s="10"/>
      <c r="G178" s="26">
        <f>G183+G179+G181</f>
        <v>2332.323</v>
      </c>
      <c r="H178" s="26">
        <f>H183+H179+H181</f>
        <v>10229</v>
      </c>
      <c r="I178" s="26">
        <f>I183+I179+I181</f>
        <v>10229</v>
      </c>
      <c r="J178" s="109"/>
      <c r="K178" s="107"/>
    </row>
    <row r="179" spans="1:11" s="53" customFormat="1" ht="47.25">
      <c r="A179" s="45" t="s">
        <v>236</v>
      </c>
      <c r="B179" s="23" t="s">
        <v>11</v>
      </c>
      <c r="C179" s="24" t="s">
        <v>21</v>
      </c>
      <c r="D179" s="24" t="s">
        <v>182</v>
      </c>
      <c r="E179" s="24"/>
      <c r="F179" s="10"/>
      <c r="G179" s="26">
        <f>G180</f>
        <v>22.515</v>
      </c>
      <c r="H179" s="26"/>
      <c r="I179" s="102"/>
      <c r="J179" s="109"/>
      <c r="K179" s="107"/>
    </row>
    <row r="180" spans="1:11" s="53" customFormat="1" ht="15.75">
      <c r="A180" s="45" t="s">
        <v>57</v>
      </c>
      <c r="B180" s="23" t="s">
        <v>11</v>
      </c>
      <c r="C180" s="24" t="s">
        <v>21</v>
      </c>
      <c r="D180" s="24" t="s">
        <v>182</v>
      </c>
      <c r="E180" s="24" t="s">
        <v>88</v>
      </c>
      <c r="F180" s="10"/>
      <c r="G180" s="26">
        <v>22.515</v>
      </c>
      <c r="H180" s="26"/>
      <c r="I180" s="102"/>
      <c r="J180" s="109"/>
      <c r="K180" s="107"/>
    </row>
    <row r="181" spans="1:11" s="53" customFormat="1" ht="110.25">
      <c r="A181" s="45" t="s">
        <v>190</v>
      </c>
      <c r="B181" s="23" t="s">
        <v>11</v>
      </c>
      <c r="C181" s="24" t="s">
        <v>21</v>
      </c>
      <c r="D181" s="24" t="s">
        <v>189</v>
      </c>
      <c r="E181" s="24"/>
      <c r="F181" s="10"/>
      <c r="G181" s="26">
        <f>G182</f>
        <v>80.808</v>
      </c>
      <c r="H181" s="26">
        <f>H182</f>
        <v>0</v>
      </c>
      <c r="I181" s="26">
        <f>I182</f>
        <v>0</v>
      </c>
      <c r="J181" s="109"/>
      <c r="K181" s="107"/>
    </row>
    <row r="182" spans="1:11" s="53" customFormat="1" ht="15.75">
      <c r="A182" s="45" t="s">
        <v>374</v>
      </c>
      <c r="B182" s="23" t="s">
        <v>11</v>
      </c>
      <c r="C182" s="24" t="s">
        <v>21</v>
      </c>
      <c r="D182" s="24" t="s">
        <v>189</v>
      </c>
      <c r="E182" s="24" t="s">
        <v>70</v>
      </c>
      <c r="F182" s="10"/>
      <c r="G182" s="26">
        <f>80.808</f>
        <v>80.808</v>
      </c>
      <c r="H182" s="26"/>
      <c r="I182" s="102"/>
      <c r="J182" s="109"/>
      <c r="K182" s="107"/>
    </row>
    <row r="183" spans="1:11" s="53" customFormat="1" ht="31.5">
      <c r="A183" s="45" t="s">
        <v>310</v>
      </c>
      <c r="B183" s="23" t="s">
        <v>11</v>
      </c>
      <c r="C183" s="24" t="s">
        <v>21</v>
      </c>
      <c r="D183" s="24" t="s">
        <v>335</v>
      </c>
      <c r="E183" s="24"/>
      <c r="F183" s="10"/>
      <c r="G183" s="26">
        <f>G184+G185</f>
        <v>2229</v>
      </c>
      <c r="H183" s="26">
        <f>H184</f>
        <v>10229</v>
      </c>
      <c r="I183" s="102">
        <f>I184</f>
        <v>10229</v>
      </c>
      <c r="J183" s="109"/>
      <c r="K183" s="107"/>
    </row>
    <row r="184" spans="1:11" s="53" customFormat="1" ht="47.25">
      <c r="A184" s="45" t="s">
        <v>71</v>
      </c>
      <c r="B184" s="23" t="s">
        <v>11</v>
      </c>
      <c r="C184" s="24" t="s">
        <v>21</v>
      </c>
      <c r="D184" s="24" t="s">
        <v>335</v>
      </c>
      <c r="E184" s="24" t="s">
        <v>70</v>
      </c>
      <c r="F184" s="10"/>
      <c r="G184" s="26">
        <f>10229-8000-2229</f>
        <v>0</v>
      </c>
      <c r="H184" s="26">
        <v>10229</v>
      </c>
      <c r="I184" s="102">
        <v>10229</v>
      </c>
      <c r="J184" s="109"/>
      <c r="K184" s="107"/>
    </row>
    <row r="185" spans="1:11" s="53" customFormat="1" ht="15.75">
      <c r="A185" s="45" t="s">
        <v>57</v>
      </c>
      <c r="B185" s="23" t="s">
        <v>11</v>
      </c>
      <c r="C185" s="24" t="s">
        <v>21</v>
      </c>
      <c r="D185" s="24" t="s">
        <v>335</v>
      </c>
      <c r="E185" s="24" t="s">
        <v>88</v>
      </c>
      <c r="F185" s="10"/>
      <c r="G185" s="26">
        <v>2229</v>
      </c>
      <c r="H185" s="26"/>
      <c r="I185" s="102"/>
      <c r="J185" s="109"/>
      <c r="K185" s="107"/>
    </row>
    <row r="186" spans="1:11" s="53" customFormat="1" ht="47.25">
      <c r="A186" s="45" t="s">
        <v>363</v>
      </c>
      <c r="B186" s="23" t="s">
        <v>11</v>
      </c>
      <c r="C186" s="24" t="s">
        <v>21</v>
      </c>
      <c r="D186" s="24" t="s">
        <v>336</v>
      </c>
      <c r="E186" s="24"/>
      <c r="F186" s="10"/>
      <c r="G186" s="26">
        <f>G187</f>
        <v>8000</v>
      </c>
      <c r="H186" s="26"/>
      <c r="I186" s="102"/>
      <c r="J186" s="109"/>
      <c r="K186" s="107"/>
    </row>
    <row r="187" spans="1:11" s="53" customFormat="1" ht="47.25">
      <c r="A187" s="45" t="s">
        <v>71</v>
      </c>
      <c r="B187" s="23" t="s">
        <v>11</v>
      </c>
      <c r="C187" s="24" t="s">
        <v>21</v>
      </c>
      <c r="D187" s="24" t="s">
        <v>336</v>
      </c>
      <c r="E187" s="24" t="s">
        <v>70</v>
      </c>
      <c r="F187" s="10"/>
      <c r="G187" s="26">
        <v>8000</v>
      </c>
      <c r="H187" s="26"/>
      <c r="I187" s="102"/>
      <c r="J187" s="109"/>
      <c r="K187" s="107"/>
    </row>
    <row r="188" spans="1:11" s="53" customFormat="1" ht="31.5">
      <c r="A188" s="34" t="s">
        <v>22</v>
      </c>
      <c r="B188" s="9" t="s">
        <v>11</v>
      </c>
      <c r="C188" s="9" t="s">
        <v>16</v>
      </c>
      <c r="D188" s="9"/>
      <c r="E188" s="9"/>
      <c r="F188" s="11" t="e">
        <f>F189+#REF!</f>
        <v>#REF!</v>
      </c>
      <c r="G188" s="12">
        <f>G189</f>
        <v>303</v>
      </c>
      <c r="H188" s="12">
        <f>H189</f>
        <v>100</v>
      </c>
      <c r="I188" s="100">
        <f>I189</f>
        <v>100</v>
      </c>
      <c r="J188" s="109"/>
      <c r="K188" s="107"/>
    </row>
    <row r="189" spans="1:11" s="3" customFormat="1" ht="31.5">
      <c r="A189" s="39" t="s">
        <v>73</v>
      </c>
      <c r="B189" s="19" t="s">
        <v>11</v>
      </c>
      <c r="C189" s="19" t="s">
        <v>16</v>
      </c>
      <c r="D189" s="19" t="s">
        <v>115</v>
      </c>
      <c r="E189" s="19"/>
      <c r="F189" s="14">
        <f aca="true" t="shared" si="13" ref="F189:I190">F190</f>
        <v>300</v>
      </c>
      <c r="G189" s="15">
        <f>G190+G192</f>
        <v>303</v>
      </c>
      <c r="H189" s="15">
        <f>H190+H192</f>
        <v>100</v>
      </c>
      <c r="I189" s="105">
        <f>I190+I192</f>
        <v>100</v>
      </c>
      <c r="J189" s="46"/>
      <c r="K189" s="107"/>
    </row>
    <row r="190" spans="1:11" s="3" customFormat="1" ht="31.5">
      <c r="A190" s="45" t="s">
        <v>23</v>
      </c>
      <c r="B190" s="19" t="s">
        <v>11</v>
      </c>
      <c r="C190" s="19" t="s">
        <v>16</v>
      </c>
      <c r="D190" s="19" t="s">
        <v>136</v>
      </c>
      <c r="E190" s="19"/>
      <c r="F190" s="14">
        <f t="shared" si="13"/>
        <v>300</v>
      </c>
      <c r="G190" s="15">
        <f t="shared" si="13"/>
        <v>153</v>
      </c>
      <c r="H190" s="15">
        <f t="shared" si="13"/>
        <v>100</v>
      </c>
      <c r="I190" s="105">
        <f t="shared" si="13"/>
        <v>100</v>
      </c>
      <c r="J190" s="46"/>
      <c r="K190" s="107"/>
    </row>
    <row r="191" spans="1:11" s="3" customFormat="1" ht="47.25">
      <c r="A191" s="45" t="s">
        <v>71</v>
      </c>
      <c r="B191" s="19" t="s">
        <v>11</v>
      </c>
      <c r="C191" s="19" t="s">
        <v>16</v>
      </c>
      <c r="D191" s="19" t="s">
        <v>136</v>
      </c>
      <c r="E191" s="19" t="s">
        <v>70</v>
      </c>
      <c r="F191" s="14">
        <v>300</v>
      </c>
      <c r="G191" s="15">
        <f>111+42</f>
        <v>153</v>
      </c>
      <c r="H191" s="15">
        <v>100</v>
      </c>
      <c r="I191" s="105">
        <v>100</v>
      </c>
      <c r="J191" s="46"/>
      <c r="K191" s="107"/>
    </row>
    <row r="192" spans="1:11" s="3" customFormat="1" ht="97.5" customHeight="1">
      <c r="A192" s="45" t="s">
        <v>190</v>
      </c>
      <c r="B192" s="19" t="s">
        <v>11</v>
      </c>
      <c r="C192" s="19" t="s">
        <v>16</v>
      </c>
      <c r="D192" s="19" t="s">
        <v>189</v>
      </c>
      <c r="E192" s="19"/>
      <c r="F192" s="14"/>
      <c r="G192" s="15">
        <f>G193</f>
        <v>150</v>
      </c>
      <c r="H192" s="15">
        <f>H193</f>
        <v>0</v>
      </c>
      <c r="I192" s="105">
        <f>I193</f>
        <v>0</v>
      </c>
      <c r="J192" s="46"/>
      <c r="K192" s="107"/>
    </row>
    <row r="193" spans="1:11" s="3" customFormat="1" ht="21.75" customHeight="1">
      <c r="A193" s="45" t="s">
        <v>71</v>
      </c>
      <c r="B193" s="19" t="s">
        <v>11</v>
      </c>
      <c r="C193" s="19" t="s">
        <v>16</v>
      </c>
      <c r="D193" s="19" t="s">
        <v>189</v>
      </c>
      <c r="E193" s="19" t="s">
        <v>70</v>
      </c>
      <c r="F193" s="14"/>
      <c r="G193" s="15">
        <v>150</v>
      </c>
      <c r="H193" s="15"/>
      <c r="I193" s="105"/>
      <c r="J193" s="46"/>
      <c r="K193" s="107"/>
    </row>
    <row r="194" spans="1:11" s="3" customFormat="1" ht="15.75">
      <c r="A194" s="34" t="s">
        <v>24</v>
      </c>
      <c r="B194" s="9" t="s">
        <v>20</v>
      </c>
      <c r="C194" s="19"/>
      <c r="D194" s="19"/>
      <c r="E194" s="19"/>
      <c r="F194" s="11" t="e">
        <f>#REF!+F199+#REF!</f>
        <v>#REF!</v>
      </c>
      <c r="G194" s="12">
        <f>G199+G195+G220</f>
        <v>25979.538</v>
      </c>
      <c r="H194" s="12">
        <f>H199+H195</f>
        <v>19610</v>
      </c>
      <c r="I194" s="100">
        <f>I199+I195</f>
        <v>19610</v>
      </c>
      <c r="J194" s="46"/>
      <c r="K194" s="107"/>
    </row>
    <row r="195" spans="1:11" s="56" customFormat="1" ht="15.75">
      <c r="A195" s="41" t="s">
        <v>199</v>
      </c>
      <c r="B195" s="30" t="s">
        <v>20</v>
      </c>
      <c r="C195" s="30" t="s">
        <v>6</v>
      </c>
      <c r="D195" s="30"/>
      <c r="E195" s="30"/>
      <c r="F195" s="28"/>
      <c r="G195" s="29">
        <f aca="true" t="shared" si="14" ref="G195:I197">G196</f>
        <v>35</v>
      </c>
      <c r="H195" s="29">
        <f t="shared" si="14"/>
        <v>10</v>
      </c>
      <c r="I195" s="101">
        <f t="shared" si="14"/>
        <v>10</v>
      </c>
      <c r="J195" s="108"/>
      <c r="K195" s="107"/>
    </row>
    <row r="196" spans="1:11" s="3" customFormat="1" ht="31.5">
      <c r="A196" s="39" t="s">
        <v>73</v>
      </c>
      <c r="B196" s="23" t="s">
        <v>20</v>
      </c>
      <c r="C196" s="23" t="s">
        <v>6</v>
      </c>
      <c r="D196" s="19" t="s">
        <v>115</v>
      </c>
      <c r="E196" s="19"/>
      <c r="F196" s="11"/>
      <c r="G196" s="26">
        <f t="shared" si="14"/>
        <v>35</v>
      </c>
      <c r="H196" s="26">
        <f t="shared" si="14"/>
        <v>10</v>
      </c>
      <c r="I196" s="102">
        <f t="shared" si="14"/>
        <v>10</v>
      </c>
      <c r="J196" s="46"/>
      <c r="K196" s="107"/>
    </row>
    <row r="197" spans="1:11" s="3" customFormat="1" ht="31.5">
      <c r="A197" s="45" t="s">
        <v>202</v>
      </c>
      <c r="B197" s="23" t="s">
        <v>20</v>
      </c>
      <c r="C197" s="23" t="s">
        <v>6</v>
      </c>
      <c r="D197" s="19" t="s">
        <v>200</v>
      </c>
      <c r="E197" s="19"/>
      <c r="F197" s="11"/>
      <c r="G197" s="26">
        <f t="shared" si="14"/>
        <v>35</v>
      </c>
      <c r="H197" s="26">
        <f t="shared" si="14"/>
        <v>10</v>
      </c>
      <c r="I197" s="102">
        <f t="shared" si="14"/>
        <v>10</v>
      </c>
      <c r="J197" s="46"/>
      <c r="K197" s="107"/>
    </row>
    <row r="198" spans="1:11" s="3" customFormat="1" ht="47.25">
      <c r="A198" s="45" t="s">
        <v>71</v>
      </c>
      <c r="B198" s="23" t="s">
        <v>20</v>
      </c>
      <c r="C198" s="23" t="s">
        <v>6</v>
      </c>
      <c r="D198" s="19" t="s">
        <v>200</v>
      </c>
      <c r="E198" s="19" t="s">
        <v>70</v>
      </c>
      <c r="F198" s="11"/>
      <c r="G198" s="26">
        <f>10+25</f>
        <v>35</v>
      </c>
      <c r="H198" s="26">
        <v>10</v>
      </c>
      <c r="I198" s="102">
        <v>10</v>
      </c>
      <c r="J198" s="46"/>
      <c r="K198" s="107"/>
    </row>
    <row r="199" spans="1:11" s="53" customFormat="1" ht="15.75">
      <c r="A199" s="34" t="s">
        <v>25</v>
      </c>
      <c r="B199" s="9" t="s">
        <v>20</v>
      </c>
      <c r="C199" s="9" t="s">
        <v>7</v>
      </c>
      <c r="D199" s="9"/>
      <c r="E199" s="9"/>
      <c r="F199" s="11" t="e">
        <f>F212+#REF!</f>
        <v>#REF!</v>
      </c>
      <c r="G199" s="12">
        <f>G210+G200</f>
        <v>20706.556</v>
      </c>
      <c r="H199" s="12">
        <f>H210+H200</f>
        <v>19600</v>
      </c>
      <c r="I199" s="100">
        <f>I210+I200</f>
        <v>19600</v>
      </c>
      <c r="J199" s="109"/>
      <c r="K199" s="107"/>
    </row>
    <row r="200" spans="1:11" s="3" customFormat="1" ht="93.75" customHeight="1">
      <c r="A200" s="75" t="s">
        <v>288</v>
      </c>
      <c r="B200" s="19" t="s">
        <v>20</v>
      </c>
      <c r="C200" s="19" t="s">
        <v>7</v>
      </c>
      <c r="D200" s="19" t="s">
        <v>129</v>
      </c>
      <c r="E200" s="19"/>
      <c r="F200" s="21"/>
      <c r="G200" s="15">
        <f>G201</f>
        <v>17732.799</v>
      </c>
      <c r="H200" s="15">
        <f>H201</f>
        <v>19400</v>
      </c>
      <c r="I200" s="105">
        <f>I201</f>
        <v>19400</v>
      </c>
      <c r="J200" s="46"/>
      <c r="K200" s="107"/>
    </row>
    <row r="201" spans="1:11" s="3" customFormat="1" ht="31.5">
      <c r="A201" s="32" t="s">
        <v>210</v>
      </c>
      <c r="B201" s="19" t="s">
        <v>20</v>
      </c>
      <c r="C201" s="19" t="s">
        <v>7</v>
      </c>
      <c r="D201" s="19" t="s">
        <v>185</v>
      </c>
      <c r="E201" s="19"/>
      <c r="F201" s="21"/>
      <c r="G201" s="15">
        <f>G202+G203+G204+G205+G207+G208+G209+G206</f>
        <v>17732.799</v>
      </c>
      <c r="H201" s="15">
        <f>H202+H203+H204+H205+H207+H208+H209+H206</f>
        <v>19400</v>
      </c>
      <c r="I201" s="105">
        <f>I202+I203+I204+I205+I207+I208+I209+I206</f>
        <v>19400</v>
      </c>
      <c r="J201" s="46"/>
      <c r="K201" s="107"/>
    </row>
    <row r="202" spans="1:11" s="53" customFormat="1" ht="15.75">
      <c r="A202" s="65" t="s">
        <v>180</v>
      </c>
      <c r="B202" s="19" t="s">
        <v>20</v>
      </c>
      <c r="C202" s="19" t="s">
        <v>7</v>
      </c>
      <c r="D202" s="19" t="s">
        <v>185</v>
      </c>
      <c r="E202" s="19" t="s">
        <v>81</v>
      </c>
      <c r="F202" s="11"/>
      <c r="G202" s="26">
        <f>7023.6-1151.9</f>
        <v>5871.700000000001</v>
      </c>
      <c r="H202" s="26">
        <v>7200</v>
      </c>
      <c r="I202" s="102">
        <v>7200</v>
      </c>
      <c r="J202" s="109"/>
      <c r="K202" s="107"/>
    </row>
    <row r="203" spans="1:11" s="53" customFormat="1" ht="47.25" hidden="1">
      <c r="A203" s="65" t="s">
        <v>78</v>
      </c>
      <c r="B203" s="19" t="s">
        <v>20</v>
      </c>
      <c r="C203" s="19" t="s">
        <v>7</v>
      </c>
      <c r="D203" s="19" t="s">
        <v>185</v>
      </c>
      <c r="E203" s="19" t="s">
        <v>62</v>
      </c>
      <c r="F203" s="11"/>
      <c r="G203" s="26"/>
      <c r="H203" s="26"/>
      <c r="I203" s="102"/>
      <c r="J203" s="109"/>
      <c r="K203" s="107"/>
    </row>
    <row r="204" spans="1:11" s="53" customFormat="1" ht="63">
      <c r="A204" s="39" t="s">
        <v>181</v>
      </c>
      <c r="B204" s="19" t="s">
        <v>20</v>
      </c>
      <c r="C204" s="19" t="s">
        <v>7</v>
      </c>
      <c r="D204" s="19" t="s">
        <v>185</v>
      </c>
      <c r="E204" s="19" t="s">
        <v>143</v>
      </c>
      <c r="F204" s="11"/>
      <c r="G204" s="26">
        <f>2121.1-850</f>
        <v>1271.1</v>
      </c>
      <c r="H204" s="26">
        <v>2200</v>
      </c>
      <c r="I204" s="102">
        <v>2200</v>
      </c>
      <c r="J204" s="109"/>
      <c r="K204" s="107"/>
    </row>
    <row r="205" spans="1:11" s="53" customFormat="1" ht="47.25">
      <c r="A205" s="65" t="s">
        <v>71</v>
      </c>
      <c r="B205" s="19" t="s">
        <v>20</v>
      </c>
      <c r="C205" s="19" t="s">
        <v>7</v>
      </c>
      <c r="D205" s="19" t="s">
        <v>185</v>
      </c>
      <c r="E205" s="54" t="s">
        <v>70</v>
      </c>
      <c r="F205" s="11"/>
      <c r="G205" s="26">
        <f>10745.828-51.584-2-30-24-38.547-25-18-12-20-4.5-7.7-9.7-10.2-6.4-47.055</f>
        <v>10439.141999999996</v>
      </c>
      <c r="H205" s="26">
        <v>10000</v>
      </c>
      <c r="I205" s="102">
        <v>10000</v>
      </c>
      <c r="J205" s="109"/>
      <c r="K205" s="107"/>
    </row>
    <row r="206" spans="1:11" s="53" customFormat="1" ht="47.25">
      <c r="A206" s="76" t="s">
        <v>215</v>
      </c>
      <c r="B206" s="19" t="s">
        <v>20</v>
      </c>
      <c r="C206" s="19" t="s">
        <v>7</v>
      </c>
      <c r="D206" s="19" t="s">
        <v>185</v>
      </c>
      <c r="E206" s="54" t="s">
        <v>83</v>
      </c>
      <c r="F206" s="11"/>
      <c r="G206" s="26">
        <v>2</v>
      </c>
      <c r="H206" s="26"/>
      <c r="I206" s="102"/>
      <c r="J206" s="109"/>
      <c r="K206" s="107"/>
    </row>
    <row r="207" spans="1:11" s="53" customFormat="1" ht="31.5">
      <c r="A207" s="76" t="s">
        <v>72</v>
      </c>
      <c r="B207" s="19" t="s">
        <v>20</v>
      </c>
      <c r="C207" s="19" t="s">
        <v>7</v>
      </c>
      <c r="D207" s="19" t="s">
        <v>185</v>
      </c>
      <c r="E207" s="54" t="s">
        <v>74</v>
      </c>
      <c r="F207" s="11"/>
      <c r="G207" s="26">
        <f>24.549-13.879-2.421-2.181-2.115</f>
        <v>3.9530000000000003</v>
      </c>
      <c r="H207" s="26"/>
      <c r="I207" s="102"/>
      <c r="J207" s="109">
        <v>24.549</v>
      </c>
      <c r="K207" s="107">
        <f>G207-J207</f>
        <v>-20.596</v>
      </c>
    </row>
    <row r="208" spans="1:11" s="53" customFormat="1" ht="39" customHeight="1">
      <c r="A208" s="76" t="s">
        <v>79</v>
      </c>
      <c r="B208" s="19" t="s">
        <v>20</v>
      </c>
      <c r="C208" s="19" t="s">
        <v>7</v>
      </c>
      <c r="D208" s="19" t="s">
        <v>185</v>
      </c>
      <c r="E208" s="54" t="s">
        <v>82</v>
      </c>
      <c r="F208" s="11"/>
      <c r="G208" s="26">
        <f>126.81-1.656-1.37+13.879+0.716</f>
        <v>138.379</v>
      </c>
      <c r="H208" s="26"/>
      <c r="I208" s="102"/>
      <c r="J208" s="109"/>
      <c r="K208" s="107"/>
    </row>
    <row r="209" spans="1:11" s="53" customFormat="1" ht="15.75">
      <c r="A209" s="76" t="s">
        <v>203</v>
      </c>
      <c r="B209" s="19" t="s">
        <v>20</v>
      </c>
      <c r="C209" s="19" t="s">
        <v>7</v>
      </c>
      <c r="D209" s="19" t="s">
        <v>185</v>
      </c>
      <c r="E209" s="54" t="s">
        <v>201</v>
      </c>
      <c r="F209" s="11"/>
      <c r="G209" s="26">
        <f>1.656+1.066+0.212+1.5+2.07+0.021</f>
        <v>6.5249999999999995</v>
      </c>
      <c r="H209" s="26"/>
      <c r="I209" s="102"/>
      <c r="J209" s="109"/>
      <c r="K209" s="107"/>
    </row>
    <row r="210" spans="1:11" s="53" customFormat="1" ht="31.5">
      <c r="A210" s="39" t="s">
        <v>73</v>
      </c>
      <c r="B210" s="19" t="s">
        <v>20</v>
      </c>
      <c r="C210" s="19" t="s">
        <v>7</v>
      </c>
      <c r="D210" s="19" t="s">
        <v>115</v>
      </c>
      <c r="E210" s="19"/>
      <c r="F210" s="11"/>
      <c r="G210" s="26">
        <f>G211+G214+G218+G216</f>
        <v>2973.7570000000005</v>
      </c>
      <c r="H210" s="26">
        <f>H211+H214</f>
        <v>200</v>
      </c>
      <c r="I210" s="102">
        <f>I211+I214</f>
        <v>200</v>
      </c>
      <c r="J210" s="109"/>
      <c r="K210" s="107"/>
    </row>
    <row r="211" spans="1:11" s="53" customFormat="1" ht="31.5">
      <c r="A211" s="45" t="s">
        <v>87</v>
      </c>
      <c r="B211" s="19" t="s">
        <v>20</v>
      </c>
      <c r="C211" s="19" t="s">
        <v>7</v>
      </c>
      <c r="D211" s="19" t="s">
        <v>137</v>
      </c>
      <c r="E211" s="19"/>
      <c r="F211" s="11"/>
      <c r="G211" s="26">
        <f>G212+G213</f>
        <v>1912.1690000000003</v>
      </c>
      <c r="H211" s="26">
        <f>H212+H213</f>
        <v>0</v>
      </c>
      <c r="I211" s="102">
        <f>I212+I213</f>
        <v>0</v>
      </c>
      <c r="J211" s="109"/>
      <c r="K211" s="107"/>
    </row>
    <row r="212" spans="1:11" s="3" customFormat="1" ht="47.25">
      <c r="A212" s="45" t="s">
        <v>71</v>
      </c>
      <c r="B212" s="19" t="s">
        <v>20</v>
      </c>
      <c r="C212" s="19" t="s">
        <v>7</v>
      </c>
      <c r="D212" s="19" t="s">
        <v>137</v>
      </c>
      <c r="E212" s="19" t="s">
        <v>70</v>
      </c>
      <c r="F212" s="14" t="e">
        <f>#REF!</f>
        <v>#REF!</v>
      </c>
      <c r="G212" s="15">
        <f>1912.2-159.48-31.917-214.052+405.418</f>
        <v>1912.1690000000003</v>
      </c>
      <c r="H212" s="15"/>
      <c r="I212" s="105"/>
      <c r="J212" s="46"/>
      <c r="K212" s="107"/>
    </row>
    <row r="213" spans="1:11" s="3" customFormat="1" ht="47.25" hidden="1">
      <c r="A213" s="76" t="s">
        <v>215</v>
      </c>
      <c r="B213" s="19" t="s">
        <v>20</v>
      </c>
      <c r="C213" s="19" t="s">
        <v>7</v>
      </c>
      <c r="D213" s="19" t="s">
        <v>137</v>
      </c>
      <c r="E213" s="19" t="s">
        <v>83</v>
      </c>
      <c r="F213" s="14"/>
      <c r="G213" s="15"/>
      <c r="H213" s="15"/>
      <c r="I213" s="105"/>
      <c r="J213" s="46"/>
      <c r="K213" s="107"/>
    </row>
    <row r="214" spans="1:11" s="3" customFormat="1" ht="95.25" customHeight="1">
      <c r="A214" s="39" t="s">
        <v>251</v>
      </c>
      <c r="B214" s="19" t="s">
        <v>20</v>
      </c>
      <c r="C214" s="19" t="s">
        <v>7</v>
      </c>
      <c r="D214" s="19" t="s">
        <v>138</v>
      </c>
      <c r="E214" s="19"/>
      <c r="F214" s="14"/>
      <c r="G214" s="15">
        <f>G215</f>
        <v>200</v>
      </c>
      <c r="H214" s="15">
        <f>H215</f>
        <v>200</v>
      </c>
      <c r="I214" s="105">
        <f>I215</f>
        <v>200</v>
      </c>
      <c r="J214" s="46"/>
      <c r="K214" s="107"/>
    </row>
    <row r="215" spans="1:11" s="3" customFormat="1" ht="80.25" customHeight="1">
      <c r="A215" s="67" t="s">
        <v>237</v>
      </c>
      <c r="B215" s="19" t="s">
        <v>20</v>
      </c>
      <c r="C215" s="19" t="s">
        <v>7</v>
      </c>
      <c r="D215" s="19" t="s">
        <v>138</v>
      </c>
      <c r="E215" s="19" t="s">
        <v>226</v>
      </c>
      <c r="F215" s="14"/>
      <c r="G215" s="15">
        <f>200-95.486+95.486</f>
        <v>200</v>
      </c>
      <c r="H215" s="15">
        <v>200</v>
      </c>
      <c r="I215" s="105">
        <v>200</v>
      </c>
      <c r="J215" s="46"/>
      <c r="K215" s="107"/>
    </row>
    <row r="216" spans="1:11" s="57" customFormat="1" ht="110.25">
      <c r="A216" s="45" t="s">
        <v>190</v>
      </c>
      <c r="B216" s="23" t="s">
        <v>20</v>
      </c>
      <c r="C216" s="23" t="s">
        <v>7</v>
      </c>
      <c r="D216" s="23" t="s">
        <v>189</v>
      </c>
      <c r="E216" s="23"/>
      <c r="F216" s="25"/>
      <c r="G216" s="26">
        <f>G217</f>
        <v>650</v>
      </c>
      <c r="H216" s="26"/>
      <c r="I216" s="102"/>
      <c r="J216" s="110"/>
      <c r="K216" s="124"/>
    </row>
    <row r="217" spans="1:11" s="57" customFormat="1" ht="47.25">
      <c r="A217" s="45" t="s">
        <v>71</v>
      </c>
      <c r="B217" s="23" t="s">
        <v>20</v>
      </c>
      <c r="C217" s="23" t="s">
        <v>7</v>
      </c>
      <c r="D217" s="23" t="s">
        <v>189</v>
      </c>
      <c r="E217" s="23" t="s">
        <v>70</v>
      </c>
      <c r="F217" s="25"/>
      <c r="G217" s="26">
        <v>650</v>
      </c>
      <c r="H217" s="26"/>
      <c r="I217" s="102"/>
      <c r="J217" s="110"/>
      <c r="K217" s="124"/>
    </row>
    <row r="218" spans="1:11" s="53" customFormat="1" ht="31.5">
      <c r="A218" s="45" t="s">
        <v>170</v>
      </c>
      <c r="B218" s="23" t="s">
        <v>20</v>
      </c>
      <c r="C218" s="23" t="s">
        <v>7</v>
      </c>
      <c r="D218" s="23" t="s">
        <v>171</v>
      </c>
      <c r="E218" s="23"/>
      <c r="F218" s="25"/>
      <c r="G218" s="26">
        <f>G219</f>
        <v>211.588</v>
      </c>
      <c r="H218" s="12"/>
      <c r="I218" s="100"/>
      <c r="J218" s="109"/>
      <c r="K218" s="107"/>
    </row>
    <row r="219" spans="1:11" s="53" customFormat="1" ht="47.25">
      <c r="A219" s="45" t="s">
        <v>71</v>
      </c>
      <c r="B219" s="23" t="s">
        <v>20</v>
      </c>
      <c r="C219" s="23" t="s">
        <v>7</v>
      </c>
      <c r="D219" s="23" t="s">
        <v>171</v>
      </c>
      <c r="E219" s="23" t="s">
        <v>70</v>
      </c>
      <c r="F219" s="25"/>
      <c r="G219" s="26">
        <v>211.588</v>
      </c>
      <c r="H219" s="12"/>
      <c r="I219" s="100"/>
      <c r="J219" s="109"/>
      <c r="K219" s="107"/>
    </row>
    <row r="220" spans="1:11" s="53" customFormat="1" ht="15.75">
      <c r="A220" s="34" t="s">
        <v>337</v>
      </c>
      <c r="B220" s="9" t="s">
        <v>20</v>
      </c>
      <c r="C220" s="9" t="s">
        <v>9</v>
      </c>
      <c r="D220" s="9"/>
      <c r="E220" s="9"/>
      <c r="F220" s="11">
        <f>F222</f>
        <v>161.6</v>
      </c>
      <c r="G220" s="12">
        <f>G222+G227+G224</f>
        <v>5237.982</v>
      </c>
      <c r="H220" s="12">
        <f>H222</f>
        <v>0</v>
      </c>
      <c r="I220" s="100">
        <f>I222</f>
        <v>0</v>
      </c>
      <c r="J220" s="109"/>
      <c r="K220" s="107"/>
    </row>
    <row r="221" spans="1:11" s="53" customFormat="1" ht="31.5">
      <c r="A221" s="40" t="s">
        <v>344</v>
      </c>
      <c r="B221" s="23" t="s">
        <v>20</v>
      </c>
      <c r="C221" s="23" t="s">
        <v>9</v>
      </c>
      <c r="D221" s="23" t="s">
        <v>343</v>
      </c>
      <c r="E221" s="9"/>
      <c r="F221" s="11"/>
      <c r="G221" s="26">
        <f>G222</f>
        <v>3333.334</v>
      </c>
      <c r="H221" s="12"/>
      <c r="I221" s="100"/>
      <c r="J221" s="109"/>
      <c r="K221" s="107"/>
    </row>
    <row r="222" spans="1:11" s="3" customFormat="1" ht="47.25">
      <c r="A222" s="112" t="s">
        <v>345</v>
      </c>
      <c r="B222" s="19" t="s">
        <v>20</v>
      </c>
      <c r="C222" s="19" t="s">
        <v>9</v>
      </c>
      <c r="D222" s="19" t="s">
        <v>338</v>
      </c>
      <c r="E222" s="19"/>
      <c r="F222" s="14">
        <f>F226</f>
        <v>161.6</v>
      </c>
      <c r="G222" s="15">
        <f>G223</f>
        <v>3333.334</v>
      </c>
      <c r="H222" s="15">
        <f>H223</f>
        <v>0</v>
      </c>
      <c r="I222" s="105">
        <f>I223</f>
        <v>0</v>
      </c>
      <c r="J222" s="46"/>
      <c r="K222" s="107"/>
    </row>
    <row r="223" spans="1:11" s="3" customFormat="1" ht="47.25">
      <c r="A223" s="45" t="s">
        <v>71</v>
      </c>
      <c r="B223" s="19" t="s">
        <v>20</v>
      </c>
      <c r="C223" s="19" t="s">
        <v>9</v>
      </c>
      <c r="D223" s="19" t="s">
        <v>338</v>
      </c>
      <c r="E223" s="19" t="s">
        <v>70</v>
      </c>
      <c r="F223" s="14">
        <f>F226</f>
        <v>161.6</v>
      </c>
      <c r="G223" s="15">
        <f>3000+333.334</f>
        <v>3333.334</v>
      </c>
      <c r="H223" s="15">
        <f>H226</f>
        <v>0</v>
      </c>
      <c r="I223" s="105">
        <f>I226</f>
        <v>0</v>
      </c>
      <c r="J223" s="46"/>
      <c r="K223" s="107"/>
    </row>
    <row r="224" spans="1:11" s="3" customFormat="1" ht="78.75">
      <c r="A224" s="125" t="s">
        <v>364</v>
      </c>
      <c r="B224" s="19" t="s">
        <v>20</v>
      </c>
      <c r="C224" s="19" t="s">
        <v>9</v>
      </c>
      <c r="D224" s="19" t="s">
        <v>362</v>
      </c>
      <c r="E224" s="19"/>
      <c r="F224" s="14"/>
      <c r="G224" s="15">
        <f>G225</f>
        <v>844.407</v>
      </c>
      <c r="H224" s="15"/>
      <c r="I224" s="105"/>
      <c r="J224" s="46"/>
      <c r="K224" s="107"/>
    </row>
    <row r="225" spans="1:11" s="3" customFormat="1" ht="63">
      <c r="A225" s="126" t="s">
        <v>365</v>
      </c>
      <c r="B225" s="19" t="s">
        <v>20</v>
      </c>
      <c r="C225" s="19" t="s">
        <v>9</v>
      </c>
      <c r="D225" s="19" t="s">
        <v>360</v>
      </c>
      <c r="E225" s="19"/>
      <c r="F225" s="14"/>
      <c r="G225" s="15">
        <f>G226</f>
        <v>844.407</v>
      </c>
      <c r="H225" s="15"/>
      <c r="I225" s="105"/>
      <c r="J225" s="46"/>
      <c r="K225" s="107"/>
    </row>
    <row r="226" spans="1:11" s="3" customFormat="1" ht="47.25">
      <c r="A226" s="45" t="s">
        <v>71</v>
      </c>
      <c r="B226" s="19" t="s">
        <v>20</v>
      </c>
      <c r="C226" s="19" t="s">
        <v>9</v>
      </c>
      <c r="D226" s="19" t="s">
        <v>360</v>
      </c>
      <c r="E226" s="19" t="s">
        <v>361</v>
      </c>
      <c r="F226" s="14">
        <f>220-8-34.5-15.9</f>
        <v>161.6</v>
      </c>
      <c r="G226" s="15">
        <v>844.407</v>
      </c>
      <c r="H226" s="15"/>
      <c r="I226" s="105"/>
      <c r="J226" s="46"/>
      <c r="K226" s="107"/>
    </row>
    <row r="227" spans="1:11" s="3" customFormat="1" ht="31.5">
      <c r="A227" s="120" t="s">
        <v>73</v>
      </c>
      <c r="B227" s="19" t="s">
        <v>20</v>
      </c>
      <c r="C227" s="19" t="s">
        <v>9</v>
      </c>
      <c r="D227" s="19" t="s">
        <v>115</v>
      </c>
      <c r="E227" s="19"/>
      <c r="F227" s="14"/>
      <c r="G227" s="15">
        <f>G228+G230+G232</f>
        <v>1060.241</v>
      </c>
      <c r="H227" s="15">
        <f>H228+H230+H232</f>
        <v>0</v>
      </c>
      <c r="I227" s="15">
        <f>I228+I230+I232</f>
        <v>0</v>
      </c>
      <c r="J227" s="46"/>
      <c r="K227" s="107"/>
    </row>
    <row r="228" spans="1:11" s="3" customFormat="1" ht="112.5" customHeight="1">
      <c r="A228" s="120" t="s">
        <v>190</v>
      </c>
      <c r="B228" s="19" t="s">
        <v>20</v>
      </c>
      <c r="C228" s="19" t="s">
        <v>9</v>
      </c>
      <c r="D228" s="19" t="s">
        <v>155</v>
      </c>
      <c r="E228" s="19"/>
      <c r="F228" s="14"/>
      <c r="G228" s="15">
        <f>G229</f>
        <v>0.01</v>
      </c>
      <c r="H228" s="15"/>
      <c r="I228" s="105"/>
      <c r="J228" s="46"/>
      <c r="K228" s="107"/>
    </row>
    <row r="229" spans="1:11" s="3" customFormat="1" ht="15.75">
      <c r="A229" s="120" t="s">
        <v>57</v>
      </c>
      <c r="B229" s="19" t="s">
        <v>20</v>
      </c>
      <c r="C229" s="19" t="s">
        <v>9</v>
      </c>
      <c r="D229" s="19" t="s">
        <v>155</v>
      </c>
      <c r="E229" s="19" t="s">
        <v>88</v>
      </c>
      <c r="F229" s="14"/>
      <c r="G229" s="15">
        <v>0.01</v>
      </c>
      <c r="H229" s="15"/>
      <c r="I229" s="105"/>
      <c r="J229" s="46"/>
      <c r="K229" s="107"/>
    </row>
    <row r="230" spans="1:11" s="3" customFormat="1" ht="47.25">
      <c r="A230" s="120" t="s">
        <v>357</v>
      </c>
      <c r="B230" s="19" t="s">
        <v>20</v>
      </c>
      <c r="C230" s="19" t="s">
        <v>9</v>
      </c>
      <c r="D230" s="19" t="s">
        <v>182</v>
      </c>
      <c r="E230" s="19"/>
      <c r="F230" s="14"/>
      <c r="G230" s="15">
        <f>G231</f>
        <v>324.231</v>
      </c>
      <c r="H230" s="15"/>
      <c r="I230" s="105"/>
      <c r="J230" s="46"/>
      <c r="K230" s="107"/>
    </row>
    <row r="231" spans="1:11" s="3" customFormat="1" ht="15.75">
      <c r="A231" s="120" t="s">
        <v>57</v>
      </c>
      <c r="B231" s="19" t="s">
        <v>20</v>
      </c>
      <c r="C231" s="19" t="s">
        <v>9</v>
      </c>
      <c r="D231" s="19" t="s">
        <v>182</v>
      </c>
      <c r="E231" s="19" t="s">
        <v>88</v>
      </c>
      <c r="F231" s="14"/>
      <c r="G231" s="15">
        <f>235.244+88.987</f>
        <v>324.231</v>
      </c>
      <c r="H231" s="15"/>
      <c r="I231" s="105"/>
      <c r="J231" s="46"/>
      <c r="K231" s="107"/>
    </row>
    <row r="232" spans="1:11" s="3" customFormat="1" ht="47.25">
      <c r="A232" s="120" t="s">
        <v>370</v>
      </c>
      <c r="B232" s="19" t="s">
        <v>20</v>
      </c>
      <c r="C232" s="19" t="s">
        <v>9</v>
      </c>
      <c r="D232" s="19" t="s">
        <v>369</v>
      </c>
      <c r="E232" s="19"/>
      <c r="F232" s="14"/>
      <c r="G232" s="15">
        <f>G233</f>
        <v>736</v>
      </c>
      <c r="H232" s="15">
        <f>H233</f>
        <v>0</v>
      </c>
      <c r="I232" s="15">
        <f>I233</f>
        <v>0</v>
      </c>
      <c r="J232" s="46"/>
      <c r="K232" s="107"/>
    </row>
    <row r="233" spans="1:11" s="3" customFormat="1" ht="15.75">
      <c r="A233" s="120" t="s">
        <v>57</v>
      </c>
      <c r="B233" s="19" t="s">
        <v>20</v>
      </c>
      <c r="C233" s="19" t="s">
        <v>9</v>
      </c>
      <c r="D233" s="19" t="s">
        <v>369</v>
      </c>
      <c r="E233" s="19" t="s">
        <v>88</v>
      </c>
      <c r="F233" s="14"/>
      <c r="G233" s="15">
        <v>736</v>
      </c>
      <c r="H233" s="15"/>
      <c r="I233" s="105"/>
      <c r="J233" s="46"/>
      <c r="K233" s="107"/>
    </row>
    <row r="234" spans="1:11" s="53" customFormat="1" ht="15.75">
      <c r="A234" s="34" t="s">
        <v>27</v>
      </c>
      <c r="B234" s="9" t="s">
        <v>28</v>
      </c>
      <c r="C234" s="9"/>
      <c r="D234" s="9"/>
      <c r="E234" s="9"/>
      <c r="F234" s="11" t="e">
        <f>F235+F284+#REF!+#REF!</f>
        <v>#REF!</v>
      </c>
      <c r="G234" s="12">
        <f>G235+G284+G383+G339+G370</f>
        <v>169291.41700000004</v>
      </c>
      <c r="H234" s="12">
        <f>H235+H284+H383+H339+H370</f>
        <v>146552.6</v>
      </c>
      <c r="I234" s="100">
        <f>I235+I284+I383+I339+I370</f>
        <v>150785.1</v>
      </c>
      <c r="J234" s="109"/>
      <c r="K234" s="107"/>
    </row>
    <row r="235" spans="1:11" s="53" customFormat="1" ht="15.75">
      <c r="A235" s="34" t="s">
        <v>29</v>
      </c>
      <c r="B235" s="9" t="s">
        <v>28</v>
      </c>
      <c r="C235" s="9" t="s">
        <v>6</v>
      </c>
      <c r="D235" s="9"/>
      <c r="E235" s="9"/>
      <c r="F235" s="11" t="e">
        <f>F280+#REF!+#REF!</f>
        <v>#REF!</v>
      </c>
      <c r="G235" s="12">
        <f>G239+G280+G265</f>
        <v>33453.909</v>
      </c>
      <c r="H235" s="12">
        <f>H239+H280+H265</f>
        <v>30264.4</v>
      </c>
      <c r="I235" s="100">
        <f>I239+I280+I265</f>
        <v>30809.6</v>
      </c>
      <c r="J235" s="109">
        <v>31483.204</v>
      </c>
      <c r="K235" s="107">
        <f>G235-J235</f>
        <v>1970.704999999998</v>
      </c>
    </row>
    <row r="236" spans="1:11" s="3" customFormat="1" ht="83.25" customHeight="1" hidden="1">
      <c r="A236" s="70" t="s">
        <v>100</v>
      </c>
      <c r="B236" s="23" t="s">
        <v>28</v>
      </c>
      <c r="C236" s="23" t="s">
        <v>6</v>
      </c>
      <c r="D236" s="23" t="s">
        <v>99</v>
      </c>
      <c r="E236" s="23"/>
      <c r="F236" s="14"/>
      <c r="G236" s="15">
        <f>G238+G237</f>
        <v>0</v>
      </c>
      <c r="H236" s="15">
        <f>H238+H237</f>
        <v>0</v>
      </c>
      <c r="I236" s="105">
        <f>I238+I237</f>
        <v>0</v>
      </c>
      <c r="J236" s="46"/>
      <c r="K236" s="107"/>
    </row>
    <row r="237" spans="1:11" s="3" customFormat="1" ht="47.25" hidden="1">
      <c r="A237" s="40" t="s">
        <v>71</v>
      </c>
      <c r="B237" s="23" t="s">
        <v>28</v>
      </c>
      <c r="C237" s="23" t="s">
        <v>6</v>
      </c>
      <c r="D237" s="23" t="s">
        <v>99</v>
      </c>
      <c r="E237" s="23" t="s">
        <v>70</v>
      </c>
      <c r="F237" s="14"/>
      <c r="G237" s="15"/>
      <c r="H237" s="15"/>
      <c r="I237" s="105"/>
      <c r="J237" s="46"/>
      <c r="K237" s="107"/>
    </row>
    <row r="238" spans="1:11" s="3" customFormat="1" ht="31.5" hidden="1">
      <c r="A238" s="68" t="s">
        <v>61</v>
      </c>
      <c r="B238" s="23" t="s">
        <v>28</v>
      </c>
      <c r="C238" s="23" t="s">
        <v>6</v>
      </c>
      <c r="D238" s="23" t="s">
        <v>99</v>
      </c>
      <c r="E238" s="23" t="s">
        <v>60</v>
      </c>
      <c r="F238" s="14"/>
      <c r="G238" s="15"/>
      <c r="H238" s="15"/>
      <c r="I238" s="105"/>
      <c r="J238" s="46"/>
      <c r="K238" s="107"/>
    </row>
    <row r="239" spans="1:11" s="3" customFormat="1" ht="47.25">
      <c r="A239" s="59" t="s">
        <v>284</v>
      </c>
      <c r="B239" s="19" t="s">
        <v>28</v>
      </c>
      <c r="C239" s="19" t="s">
        <v>6</v>
      </c>
      <c r="D239" s="19" t="s">
        <v>144</v>
      </c>
      <c r="E239" s="19"/>
      <c r="F239" s="14"/>
      <c r="G239" s="15">
        <f>G240+G250+G261+G263</f>
        <v>28738.169</v>
      </c>
      <c r="H239" s="15">
        <f>H240+H250+H261+H263</f>
        <v>25819.7</v>
      </c>
      <c r="I239" s="15">
        <f>I240+I250+I261+I263</f>
        <v>26319.7</v>
      </c>
      <c r="J239" s="46"/>
      <c r="K239" s="107"/>
    </row>
    <row r="240" spans="1:11" s="3" customFormat="1" ht="31.5">
      <c r="A240" s="50" t="s">
        <v>211</v>
      </c>
      <c r="B240" s="19" t="s">
        <v>28</v>
      </c>
      <c r="C240" s="19" t="s">
        <v>6</v>
      </c>
      <c r="D240" s="19" t="s">
        <v>145</v>
      </c>
      <c r="E240" s="19"/>
      <c r="F240" s="14"/>
      <c r="G240" s="15">
        <f>G241+G242+G244+G247+G248+G243+G246+G249+G245</f>
        <v>14186.469000000001</v>
      </c>
      <c r="H240" s="15">
        <f>H241+H242+H244+H247+H248+H243+H246+H249</f>
        <v>12500</v>
      </c>
      <c r="I240" s="105">
        <f>I241+I242+I244+I247+I248+I243+I246+I249</f>
        <v>13000</v>
      </c>
      <c r="J240" s="46"/>
      <c r="K240" s="107"/>
    </row>
    <row r="241" spans="1:11" s="3" customFormat="1" ht="15.75">
      <c r="A241" s="65" t="s">
        <v>180</v>
      </c>
      <c r="B241" s="19" t="s">
        <v>28</v>
      </c>
      <c r="C241" s="19" t="s">
        <v>6</v>
      </c>
      <c r="D241" s="19" t="s">
        <v>145</v>
      </c>
      <c r="E241" s="19" t="s">
        <v>81</v>
      </c>
      <c r="F241" s="14"/>
      <c r="G241" s="20">
        <v>5135.05</v>
      </c>
      <c r="H241" s="15">
        <v>5000</v>
      </c>
      <c r="I241" s="105">
        <v>5000</v>
      </c>
      <c r="J241" s="46"/>
      <c r="K241" s="107"/>
    </row>
    <row r="242" spans="1:11" s="3" customFormat="1" ht="47.25" hidden="1">
      <c r="A242" s="65" t="s">
        <v>78</v>
      </c>
      <c r="B242" s="19" t="s">
        <v>28</v>
      </c>
      <c r="C242" s="19" t="s">
        <v>6</v>
      </c>
      <c r="D242" s="19" t="s">
        <v>145</v>
      </c>
      <c r="E242" s="19" t="s">
        <v>62</v>
      </c>
      <c r="F242" s="14"/>
      <c r="G242" s="20"/>
      <c r="H242" s="15"/>
      <c r="I242" s="105"/>
      <c r="J242" s="46"/>
      <c r="K242" s="107"/>
    </row>
    <row r="243" spans="1:11" s="3" customFormat="1" ht="63">
      <c r="A243" s="39" t="s">
        <v>181</v>
      </c>
      <c r="B243" s="19" t="s">
        <v>28</v>
      </c>
      <c r="C243" s="19" t="s">
        <v>6</v>
      </c>
      <c r="D243" s="19" t="s">
        <v>145</v>
      </c>
      <c r="E243" s="19" t="s">
        <v>143</v>
      </c>
      <c r="F243" s="14"/>
      <c r="G243" s="20">
        <f>1550.83-0.007</f>
        <v>1550.8229999999999</v>
      </c>
      <c r="H243" s="15">
        <v>1500</v>
      </c>
      <c r="I243" s="105">
        <v>1500</v>
      </c>
      <c r="J243" s="46"/>
      <c r="K243" s="107"/>
    </row>
    <row r="244" spans="1:11" s="3" customFormat="1" ht="47.25">
      <c r="A244" s="65" t="s">
        <v>71</v>
      </c>
      <c r="B244" s="19" t="s">
        <v>28</v>
      </c>
      <c r="C244" s="19" t="s">
        <v>6</v>
      </c>
      <c r="D244" s="19" t="s">
        <v>145</v>
      </c>
      <c r="E244" s="54" t="s">
        <v>70</v>
      </c>
      <c r="F244" s="14"/>
      <c r="G244" s="20">
        <f>7189.308+15+6.655+6.012+2.327+2.45+3.64-2.45+3.689+5+0.007+23+74.227</f>
        <v>7328.865</v>
      </c>
      <c r="H244" s="15">
        <v>6000</v>
      </c>
      <c r="I244" s="105">
        <v>6500</v>
      </c>
      <c r="J244" s="46">
        <v>6639.684</v>
      </c>
      <c r="K244" s="107">
        <f>G244-J244</f>
        <v>689.1809999999996</v>
      </c>
    </row>
    <row r="245" spans="1:11" s="3" customFormat="1" ht="63">
      <c r="A245" s="123" t="s">
        <v>366</v>
      </c>
      <c r="B245" s="19" t="s">
        <v>28</v>
      </c>
      <c r="C245" s="19" t="s">
        <v>6</v>
      </c>
      <c r="D245" s="19" t="s">
        <v>145</v>
      </c>
      <c r="E245" s="54" t="s">
        <v>354</v>
      </c>
      <c r="F245" s="14"/>
      <c r="G245" s="20">
        <f>59.717+25</f>
        <v>84.717</v>
      </c>
      <c r="H245" s="15"/>
      <c r="I245" s="105"/>
      <c r="J245" s="46"/>
      <c r="K245" s="107"/>
    </row>
    <row r="246" spans="1:11" s="3" customFormat="1" ht="56.25" customHeight="1">
      <c r="A246" s="76" t="s">
        <v>215</v>
      </c>
      <c r="B246" s="19" t="s">
        <v>28</v>
      </c>
      <c r="C246" s="19" t="s">
        <v>6</v>
      </c>
      <c r="D246" s="19" t="s">
        <v>145</v>
      </c>
      <c r="E246" s="54" t="s">
        <v>83</v>
      </c>
      <c r="F246" s="14"/>
      <c r="G246" s="20">
        <f>5.489+2+2</f>
        <v>9.489</v>
      </c>
      <c r="H246" s="15"/>
      <c r="I246" s="105"/>
      <c r="J246" s="46"/>
      <c r="K246" s="107"/>
    </row>
    <row r="247" spans="1:11" s="3" customFormat="1" ht="62.25" customHeight="1" hidden="1">
      <c r="A247" s="76" t="s">
        <v>72</v>
      </c>
      <c r="B247" s="19" t="s">
        <v>28</v>
      </c>
      <c r="C247" s="19" t="s">
        <v>6</v>
      </c>
      <c r="D247" s="19" t="s">
        <v>145</v>
      </c>
      <c r="E247" s="54" t="s">
        <v>74</v>
      </c>
      <c r="F247" s="14"/>
      <c r="G247" s="20"/>
      <c r="H247" s="15"/>
      <c r="I247" s="105"/>
      <c r="J247" s="46"/>
      <c r="K247" s="107"/>
    </row>
    <row r="248" spans="1:11" s="3" customFormat="1" ht="55.5" customHeight="1" hidden="1">
      <c r="A248" s="76" t="s">
        <v>79</v>
      </c>
      <c r="B248" s="19" t="s">
        <v>28</v>
      </c>
      <c r="C248" s="19" t="s">
        <v>6</v>
      </c>
      <c r="D248" s="19" t="s">
        <v>145</v>
      </c>
      <c r="E248" s="54" t="s">
        <v>82</v>
      </c>
      <c r="F248" s="14"/>
      <c r="G248" s="20"/>
      <c r="H248" s="15"/>
      <c r="I248" s="105"/>
      <c r="J248" s="46"/>
      <c r="K248" s="107"/>
    </row>
    <row r="249" spans="1:11" s="3" customFormat="1" ht="15.75">
      <c r="A249" s="76" t="s">
        <v>203</v>
      </c>
      <c r="B249" s="19" t="s">
        <v>28</v>
      </c>
      <c r="C249" s="19" t="s">
        <v>6</v>
      </c>
      <c r="D249" s="19" t="s">
        <v>145</v>
      </c>
      <c r="E249" s="54" t="s">
        <v>201</v>
      </c>
      <c r="F249" s="14"/>
      <c r="G249" s="20">
        <f>21.22+53.96+0.02+1.416+0.004+0.905</f>
        <v>77.525</v>
      </c>
      <c r="H249" s="15"/>
      <c r="I249" s="105"/>
      <c r="J249" s="46"/>
      <c r="K249" s="107"/>
    </row>
    <row r="250" spans="1:11" s="3" customFormat="1" ht="47.25">
      <c r="A250" s="45" t="s">
        <v>252</v>
      </c>
      <c r="B250" s="23" t="s">
        <v>28</v>
      </c>
      <c r="C250" s="23" t="s">
        <v>6</v>
      </c>
      <c r="D250" s="23" t="s">
        <v>146</v>
      </c>
      <c r="E250" s="23"/>
      <c r="F250" s="14">
        <f>F252</f>
        <v>42</v>
      </c>
      <c r="G250" s="15">
        <f>G251+G255+G259</f>
        <v>13553.7</v>
      </c>
      <c r="H250" s="15">
        <f>H251+H255+H259</f>
        <v>13319.7</v>
      </c>
      <c r="I250" s="105">
        <f>I251+I255+I259</f>
        <v>13319.7</v>
      </c>
      <c r="J250" s="46"/>
      <c r="K250" s="107"/>
    </row>
    <row r="251" spans="1:11" s="3" customFormat="1" ht="78.75">
      <c r="A251" s="45" t="s">
        <v>253</v>
      </c>
      <c r="B251" s="23" t="s">
        <v>28</v>
      </c>
      <c r="C251" s="23" t="s">
        <v>6</v>
      </c>
      <c r="D251" s="23" t="s">
        <v>227</v>
      </c>
      <c r="E251" s="23"/>
      <c r="F251" s="14"/>
      <c r="G251" s="15">
        <f>G252+G253+G254</f>
        <v>9901.5</v>
      </c>
      <c r="H251" s="15">
        <f>H252+H253+H254</f>
        <v>9901.5</v>
      </c>
      <c r="I251" s="105">
        <f>I252+I253+I254</f>
        <v>9901.5</v>
      </c>
      <c r="J251" s="46"/>
      <c r="K251" s="107"/>
    </row>
    <row r="252" spans="1:11" s="3" customFormat="1" ht="15.75">
      <c r="A252" s="65" t="s">
        <v>180</v>
      </c>
      <c r="B252" s="23" t="s">
        <v>28</v>
      </c>
      <c r="C252" s="23" t="s">
        <v>6</v>
      </c>
      <c r="D252" s="23" t="s">
        <v>227</v>
      </c>
      <c r="E252" s="23" t="s">
        <v>81</v>
      </c>
      <c r="F252" s="14">
        <v>42</v>
      </c>
      <c r="G252" s="15">
        <v>7604.8</v>
      </c>
      <c r="H252" s="15">
        <v>7604.8</v>
      </c>
      <c r="I252" s="105">
        <v>7604.8</v>
      </c>
      <c r="J252" s="46"/>
      <c r="K252" s="107"/>
    </row>
    <row r="253" spans="1:11" s="3" customFormat="1" ht="47.25" hidden="1">
      <c r="A253" s="65" t="s">
        <v>78</v>
      </c>
      <c r="B253" s="23" t="s">
        <v>28</v>
      </c>
      <c r="C253" s="23" t="s">
        <v>6</v>
      </c>
      <c r="D253" s="23" t="s">
        <v>227</v>
      </c>
      <c r="E253" s="23" t="s">
        <v>62</v>
      </c>
      <c r="F253" s="14"/>
      <c r="G253" s="15"/>
      <c r="H253" s="15"/>
      <c r="I253" s="105"/>
      <c r="J253" s="46"/>
      <c r="K253" s="107"/>
    </row>
    <row r="254" spans="1:11" s="3" customFormat="1" ht="69" customHeight="1">
      <c r="A254" s="39" t="s">
        <v>181</v>
      </c>
      <c r="B254" s="23" t="s">
        <v>28</v>
      </c>
      <c r="C254" s="23" t="s">
        <v>6</v>
      </c>
      <c r="D254" s="23" t="s">
        <v>227</v>
      </c>
      <c r="E254" s="23" t="s">
        <v>143</v>
      </c>
      <c r="F254" s="14"/>
      <c r="G254" s="15">
        <v>2296.7</v>
      </c>
      <c r="H254" s="15">
        <v>2296.7</v>
      </c>
      <c r="I254" s="105">
        <v>2296.7</v>
      </c>
      <c r="J254" s="46"/>
      <c r="K254" s="107"/>
    </row>
    <row r="255" spans="1:11" s="3" customFormat="1" ht="66.75" customHeight="1">
      <c r="A255" s="32" t="s">
        <v>254</v>
      </c>
      <c r="B255" s="23" t="s">
        <v>28</v>
      </c>
      <c r="C255" s="23" t="s">
        <v>6</v>
      </c>
      <c r="D255" s="23" t="s">
        <v>228</v>
      </c>
      <c r="E255" s="23"/>
      <c r="F255" s="14"/>
      <c r="G255" s="15">
        <f>G256+G257+G258</f>
        <v>3527.1</v>
      </c>
      <c r="H255" s="15">
        <f>H256+H257+H258</f>
        <v>3293.1000000000004</v>
      </c>
      <c r="I255" s="105">
        <f>I256+I257+I258</f>
        <v>3293.1000000000004</v>
      </c>
      <c r="J255" s="46"/>
      <c r="K255" s="107"/>
    </row>
    <row r="256" spans="1:11" s="3" customFormat="1" ht="15.75">
      <c r="A256" s="65" t="s">
        <v>180</v>
      </c>
      <c r="B256" s="23" t="s">
        <v>28</v>
      </c>
      <c r="C256" s="23" t="s">
        <v>6</v>
      </c>
      <c r="D256" s="23" t="s">
        <v>228</v>
      </c>
      <c r="E256" s="23" t="s">
        <v>81</v>
      </c>
      <c r="F256" s="14"/>
      <c r="G256" s="15">
        <v>2709</v>
      </c>
      <c r="H256" s="15">
        <v>2529.3</v>
      </c>
      <c r="I256" s="105">
        <v>2529.3</v>
      </c>
      <c r="J256" s="46"/>
      <c r="K256" s="107"/>
    </row>
    <row r="257" spans="1:11" s="3" customFormat="1" ht="47.25" hidden="1">
      <c r="A257" s="65" t="s">
        <v>78</v>
      </c>
      <c r="B257" s="23" t="s">
        <v>28</v>
      </c>
      <c r="C257" s="23" t="s">
        <v>6</v>
      </c>
      <c r="D257" s="23" t="s">
        <v>228</v>
      </c>
      <c r="E257" s="23" t="s">
        <v>62</v>
      </c>
      <c r="F257" s="14"/>
      <c r="G257" s="15"/>
      <c r="H257" s="15"/>
      <c r="I257" s="105"/>
      <c r="J257" s="46"/>
      <c r="K257" s="107"/>
    </row>
    <row r="258" spans="1:11" s="3" customFormat="1" ht="61.5" customHeight="1">
      <c r="A258" s="39" t="s">
        <v>181</v>
      </c>
      <c r="B258" s="23" t="s">
        <v>28</v>
      </c>
      <c r="C258" s="23" t="s">
        <v>6</v>
      </c>
      <c r="D258" s="23" t="s">
        <v>228</v>
      </c>
      <c r="E258" s="23" t="s">
        <v>143</v>
      </c>
      <c r="F258" s="14"/>
      <c r="G258" s="15">
        <v>818.1</v>
      </c>
      <c r="H258" s="15">
        <v>763.8</v>
      </c>
      <c r="I258" s="105">
        <v>763.8</v>
      </c>
      <c r="J258" s="46"/>
      <c r="K258" s="107"/>
    </row>
    <row r="259" spans="1:11" s="3" customFormat="1" ht="68.25" customHeight="1">
      <c r="A259" s="32" t="s">
        <v>255</v>
      </c>
      <c r="B259" s="23" t="s">
        <v>28</v>
      </c>
      <c r="C259" s="23" t="s">
        <v>6</v>
      </c>
      <c r="D259" s="23" t="s">
        <v>229</v>
      </c>
      <c r="E259" s="23"/>
      <c r="F259" s="14"/>
      <c r="G259" s="15">
        <f>G260</f>
        <v>125.1</v>
      </c>
      <c r="H259" s="15">
        <f>H260</f>
        <v>125.1</v>
      </c>
      <c r="I259" s="105">
        <f>I260</f>
        <v>125.1</v>
      </c>
      <c r="J259" s="46"/>
      <c r="K259" s="107"/>
    </row>
    <row r="260" spans="1:11" s="3" customFormat="1" ht="51" customHeight="1">
      <c r="A260" s="65" t="s">
        <v>71</v>
      </c>
      <c r="B260" s="23" t="s">
        <v>28</v>
      </c>
      <c r="C260" s="23" t="s">
        <v>6</v>
      </c>
      <c r="D260" s="23" t="s">
        <v>229</v>
      </c>
      <c r="E260" s="23" t="s">
        <v>70</v>
      </c>
      <c r="F260" s="14"/>
      <c r="G260" s="15">
        <v>125.1</v>
      </c>
      <c r="H260" s="15">
        <v>125.1</v>
      </c>
      <c r="I260" s="105">
        <v>125.1</v>
      </c>
      <c r="J260" s="46"/>
      <c r="K260" s="107"/>
    </row>
    <row r="261" spans="1:11" s="3" customFormat="1" ht="78.75">
      <c r="A261" s="65" t="s">
        <v>207</v>
      </c>
      <c r="B261" s="23" t="s">
        <v>28</v>
      </c>
      <c r="C261" s="23" t="s">
        <v>6</v>
      </c>
      <c r="D261" s="23" t="s">
        <v>351</v>
      </c>
      <c r="E261" s="23"/>
      <c r="F261" s="14"/>
      <c r="G261" s="15">
        <f>G262</f>
        <v>248</v>
      </c>
      <c r="H261" s="15">
        <f>H262</f>
        <v>0</v>
      </c>
      <c r="I261" s="105">
        <f>I262</f>
        <v>0</v>
      </c>
      <c r="J261" s="46"/>
      <c r="K261" s="107"/>
    </row>
    <row r="262" spans="1:11" s="3" customFormat="1" ht="47.25">
      <c r="A262" s="65" t="s">
        <v>71</v>
      </c>
      <c r="B262" s="23" t="s">
        <v>28</v>
      </c>
      <c r="C262" s="23" t="s">
        <v>6</v>
      </c>
      <c r="D262" s="23" t="s">
        <v>351</v>
      </c>
      <c r="E262" s="23" t="s">
        <v>70</v>
      </c>
      <c r="F262" s="14"/>
      <c r="G262" s="15">
        <v>248</v>
      </c>
      <c r="H262" s="15"/>
      <c r="I262" s="105"/>
      <c r="J262" s="46"/>
      <c r="K262" s="107"/>
    </row>
    <row r="263" spans="1:11" s="3" customFormat="1" ht="47.25">
      <c r="A263" s="120" t="s">
        <v>370</v>
      </c>
      <c r="B263" s="19" t="s">
        <v>28</v>
      </c>
      <c r="C263" s="19" t="s">
        <v>6</v>
      </c>
      <c r="D263" s="19" t="s">
        <v>371</v>
      </c>
      <c r="E263" s="23"/>
      <c r="F263" s="14"/>
      <c r="G263" s="15">
        <f>G264</f>
        <v>750</v>
      </c>
      <c r="H263" s="15">
        <f>H264</f>
        <v>0</v>
      </c>
      <c r="I263" s="15">
        <f>I264</f>
        <v>0</v>
      </c>
      <c r="J263" s="46"/>
      <c r="K263" s="107"/>
    </row>
    <row r="264" spans="1:11" s="3" customFormat="1" ht="47.25">
      <c r="A264" s="65" t="s">
        <v>71</v>
      </c>
      <c r="B264" s="19" t="s">
        <v>28</v>
      </c>
      <c r="C264" s="19" t="s">
        <v>6</v>
      </c>
      <c r="D264" s="19" t="s">
        <v>371</v>
      </c>
      <c r="E264" s="23" t="s">
        <v>70</v>
      </c>
      <c r="F264" s="14"/>
      <c r="G264" s="15">
        <v>750</v>
      </c>
      <c r="H264" s="15"/>
      <c r="I264" s="105"/>
      <c r="J264" s="46"/>
      <c r="K264" s="107"/>
    </row>
    <row r="265" spans="1:11" s="3" customFormat="1" ht="53.25" customHeight="1">
      <c r="A265" s="37" t="s">
        <v>286</v>
      </c>
      <c r="B265" s="19" t="s">
        <v>28</v>
      </c>
      <c r="C265" s="19" t="s">
        <v>6</v>
      </c>
      <c r="D265" s="19" t="s">
        <v>149</v>
      </c>
      <c r="E265" s="19"/>
      <c r="F265" s="14"/>
      <c r="G265" s="15">
        <f>G270+G266</f>
        <v>4715.74</v>
      </c>
      <c r="H265" s="15">
        <f>H270+H266</f>
        <v>4444.7</v>
      </c>
      <c r="I265" s="105">
        <f>I270+I266</f>
        <v>4489.9</v>
      </c>
      <c r="J265" s="46"/>
      <c r="K265" s="107"/>
    </row>
    <row r="266" spans="1:11" s="3" customFormat="1" ht="31.5">
      <c r="A266" s="40" t="s">
        <v>210</v>
      </c>
      <c r="B266" s="19" t="s">
        <v>28</v>
      </c>
      <c r="C266" s="19" t="s">
        <v>6</v>
      </c>
      <c r="D266" s="19" t="s">
        <v>150</v>
      </c>
      <c r="E266" s="19"/>
      <c r="F266" s="14"/>
      <c r="G266" s="15">
        <f>G269+G267+G268</f>
        <v>1075.84</v>
      </c>
      <c r="H266" s="15">
        <f>H269</f>
        <v>804.8</v>
      </c>
      <c r="I266" s="105">
        <f>I269</f>
        <v>850</v>
      </c>
      <c r="J266" s="46"/>
      <c r="K266" s="107"/>
    </row>
    <row r="267" spans="1:11" s="3" customFormat="1" ht="15.75">
      <c r="A267" s="65" t="s">
        <v>180</v>
      </c>
      <c r="B267" s="19" t="s">
        <v>28</v>
      </c>
      <c r="C267" s="19" t="s">
        <v>6</v>
      </c>
      <c r="D267" s="19" t="s">
        <v>150</v>
      </c>
      <c r="E267" s="19" t="s">
        <v>81</v>
      </c>
      <c r="F267" s="14"/>
      <c r="G267" s="15">
        <v>63.7</v>
      </c>
      <c r="H267" s="15"/>
      <c r="I267" s="105"/>
      <c r="J267" s="46"/>
      <c r="K267" s="107"/>
    </row>
    <row r="268" spans="1:11" s="3" customFormat="1" ht="63">
      <c r="A268" s="39" t="s">
        <v>181</v>
      </c>
      <c r="B268" s="19" t="s">
        <v>28</v>
      </c>
      <c r="C268" s="19" t="s">
        <v>6</v>
      </c>
      <c r="D268" s="19" t="s">
        <v>150</v>
      </c>
      <c r="E268" s="19" t="s">
        <v>143</v>
      </c>
      <c r="F268" s="14"/>
      <c r="G268" s="15">
        <v>19.24</v>
      </c>
      <c r="H268" s="15"/>
      <c r="I268" s="105"/>
      <c r="J268" s="46"/>
      <c r="K268" s="107"/>
    </row>
    <row r="269" spans="1:11" s="3" customFormat="1" ht="53.25" customHeight="1">
      <c r="A269" s="65" t="s">
        <v>71</v>
      </c>
      <c r="B269" s="19" t="s">
        <v>28</v>
      </c>
      <c r="C269" s="19" t="s">
        <v>6</v>
      </c>
      <c r="D269" s="19" t="s">
        <v>150</v>
      </c>
      <c r="E269" s="19" t="s">
        <v>70</v>
      </c>
      <c r="F269" s="14"/>
      <c r="G269" s="15">
        <f>992.9</f>
        <v>992.9</v>
      </c>
      <c r="H269" s="15">
        <v>804.8</v>
      </c>
      <c r="I269" s="105">
        <v>850</v>
      </c>
      <c r="J269" s="46"/>
      <c r="K269" s="107"/>
    </row>
    <row r="270" spans="1:11" s="3" customFormat="1" ht="78.75">
      <c r="A270" s="32" t="s">
        <v>256</v>
      </c>
      <c r="B270" s="19" t="s">
        <v>28</v>
      </c>
      <c r="C270" s="19" t="s">
        <v>6</v>
      </c>
      <c r="D270" s="19" t="s">
        <v>230</v>
      </c>
      <c r="E270" s="19"/>
      <c r="F270" s="14"/>
      <c r="G270" s="15">
        <f>G271+G274+G278</f>
        <v>3639.8999999999996</v>
      </c>
      <c r="H270" s="15">
        <f>H271+H274+H278</f>
        <v>3639.8999999999996</v>
      </c>
      <c r="I270" s="105">
        <f>I271+I274+I278</f>
        <v>3639.8999999999996</v>
      </c>
      <c r="J270" s="46"/>
      <c r="K270" s="107"/>
    </row>
    <row r="271" spans="1:11" s="3" customFormat="1" ht="110.25">
      <c r="A271" s="32" t="s">
        <v>257</v>
      </c>
      <c r="B271" s="19" t="s">
        <v>28</v>
      </c>
      <c r="C271" s="19" t="s">
        <v>6</v>
      </c>
      <c r="D271" s="19" t="s">
        <v>231</v>
      </c>
      <c r="E271" s="19"/>
      <c r="F271" s="14"/>
      <c r="G271" s="15">
        <f>G272+G273</f>
        <v>2658.7</v>
      </c>
      <c r="H271" s="15">
        <f>H272+H273</f>
        <v>2658.7</v>
      </c>
      <c r="I271" s="105">
        <f>I272+I273</f>
        <v>2658.7</v>
      </c>
      <c r="J271" s="46"/>
      <c r="K271" s="107"/>
    </row>
    <row r="272" spans="1:11" s="3" customFormat="1" ht="15.75">
      <c r="A272" s="65" t="s">
        <v>180</v>
      </c>
      <c r="B272" s="19" t="s">
        <v>28</v>
      </c>
      <c r="C272" s="19" t="s">
        <v>6</v>
      </c>
      <c r="D272" s="19" t="s">
        <v>231</v>
      </c>
      <c r="E272" s="19" t="s">
        <v>81</v>
      </c>
      <c r="F272" s="14"/>
      <c r="G272" s="15">
        <f>2042-5</f>
        <v>2037</v>
      </c>
      <c r="H272" s="15">
        <v>2042</v>
      </c>
      <c r="I272" s="105">
        <v>2042</v>
      </c>
      <c r="J272" s="46"/>
      <c r="K272" s="107"/>
    </row>
    <row r="273" spans="1:11" s="3" customFormat="1" ht="63">
      <c r="A273" s="88" t="s">
        <v>181</v>
      </c>
      <c r="B273" s="19" t="s">
        <v>28</v>
      </c>
      <c r="C273" s="19" t="s">
        <v>6</v>
      </c>
      <c r="D273" s="19" t="s">
        <v>231</v>
      </c>
      <c r="E273" s="19" t="s">
        <v>143</v>
      </c>
      <c r="F273" s="14"/>
      <c r="G273" s="15">
        <f>616.7+5</f>
        <v>621.7</v>
      </c>
      <c r="H273" s="15">
        <v>616.7</v>
      </c>
      <c r="I273" s="105">
        <v>616.7</v>
      </c>
      <c r="J273" s="46"/>
      <c r="K273" s="107"/>
    </row>
    <row r="274" spans="1:11" s="3" customFormat="1" ht="110.25">
      <c r="A274" s="38" t="s">
        <v>258</v>
      </c>
      <c r="B274" s="19" t="s">
        <v>28</v>
      </c>
      <c r="C274" s="19" t="s">
        <v>6</v>
      </c>
      <c r="D274" s="19" t="s">
        <v>232</v>
      </c>
      <c r="E274" s="23"/>
      <c r="F274" s="14"/>
      <c r="G274" s="15">
        <f>G275+G277+G276</f>
        <v>948.1</v>
      </c>
      <c r="H274" s="15">
        <f>H275+H277+H276</f>
        <v>948.1</v>
      </c>
      <c r="I274" s="105">
        <f>I275+I277+I276</f>
        <v>948.1</v>
      </c>
      <c r="J274" s="46"/>
      <c r="K274" s="107"/>
    </row>
    <row r="275" spans="1:11" s="3" customFormat="1" ht="15.75">
      <c r="A275" s="65" t="s">
        <v>180</v>
      </c>
      <c r="B275" s="19" t="s">
        <v>28</v>
      </c>
      <c r="C275" s="19" t="s">
        <v>6</v>
      </c>
      <c r="D275" s="19" t="s">
        <v>232</v>
      </c>
      <c r="E275" s="19" t="s">
        <v>81</v>
      </c>
      <c r="F275" s="14"/>
      <c r="G275" s="15">
        <v>728.2</v>
      </c>
      <c r="H275" s="15">
        <v>728.2</v>
      </c>
      <c r="I275" s="105">
        <v>728.2</v>
      </c>
      <c r="J275" s="46"/>
      <c r="K275" s="107"/>
    </row>
    <row r="276" spans="1:11" s="3" customFormat="1" ht="47.25" hidden="1">
      <c r="A276" s="40" t="s">
        <v>78</v>
      </c>
      <c r="B276" s="19" t="s">
        <v>28</v>
      </c>
      <c r="C276" s="19" t="s">
        <v>6</v>
      </c>
      <c r="D276" s="19" t="s">
        <v>232</v>
      </c>
      <c r="E276" s="19" t="s">
        <v>62</v>
      </c>
      <c r="F276" s="14"/>
      <c r="G276" s="15"/>
      <c r="H276" s="15"/>
      <c r="I276" s="105"/>
      <c r="J276" s="46"/>
      <c r="K276" s="107"/>
    </row>
    <row r="277" spans="1:11" s="3" customFormat="1" ht="63">
      <c r="A277" s="88" t="s">
        <v>181</v>
      </c>
      <c r="B277" s="19" t="s">
        <v>28</v>
      </c>
      <c r="C277" s="19" t="s">
        <v>6</v>
      </c>
      <c r="D277" s="19" t="s">
        <v>232</v>
      </c>
      <c r="E277" s="19" t="s">
        <v>143</v>
      </c>
      <c r="F277" s="14"/>
      <c r="G277" s="15">
        <v>219.9</v>
      </c>
      <c r="H277" s="15">
        <v>219.9</v>
      </c>
      <c r="I277" s="105">
        <v>219.9</v>
      </c>
      <c r="J277" s="46"/>
      <c r="K277" s="107"/>
    </row>
    <row r="278" spans="1:11" s="3" customFormat="1" ht="99" customHeight="1">
      <c r="A278" s="38" t="s">
        <v>259</v>
      </c>
      <c r="B278" s="19" t="s">
        <v>28</v>
      </c>
      <c r="C278" s="19" t="s">
        <v>6</v>
      </c>
      <c r="D278" s="19" t="s">
        <v>239</v>
      </c>
      <c r="E278" s="19"/>
      <c r="F278" s="14"/>
      <c r="G278" s="15">
        <f>G279</f>
        <v>33.1</v>
      </c>
      <c r="H278" s="15">
        <f>H279</f>
        <v>33.1</v>
      </c>
      <c r="I278" s="105">
        <f>I279</f>
        <v>33.1</v>
      </c>
      <c r="J278" s="46"/>
      <c r="K278" s="107"/>
    </row>
    <row r="279" spans="1:11" s="3" customFormat="1" ht="47.25">
      <c r="A279" s="40" t="s">
        <v>71</v>
      </c>
      <c r="B279" s="19" t="s">
        <v>28</v>
      </c>
      <c r="C279" s="19" t="s">
        <v>6</v>
      </c>
      <c r="D279" s="19" t="s">
        <v>239</v>
      </c>
      <c r="E279" s="19" t="s">
        <v>70</v>
      </c>
      <c r="F279" s="14"/>
      <c r="G279" s="15">
        <v>33.1</v>
      </c>
      <c r="H279" s="15">
        <v>33.1</v>
      </c>
      <c r="I279" s="105">
        <v>33.1</v>
      </c>
      <c r="J279" s="46"/>
      <c r="K279" s="107"/>
    </row>
    <row r="280" spans="1:11" s="3" customFormat="1" ht="31.5" hidden="1">
      <c r="A280" s="39" t="s">
        <v>73</v>
      </c>
      <c r="B280" s="19" t="s">
        <v>28</v>
      </c>
      <c r="C280" s="19" t="s">
        <v>6</v>
      </c>
      <c r="D280" s="19" t="s">
        <v>115</v>
      </c>
      <c r="E280" s="19"/>
      <c r="F280" s="14" t="e">
        <f>#REF!</f>
        <v>#REF!</v>
      </c>
      <c r="G280" s="15">
        <f>G281</f>
        <v>0</v>
      </c>
      <c r="H280" s="15">
        <f>H281</f>
        <v>0</v>
      </c>
      <c r="I280" s="105">
        <f>I281</f>
        <v>0</v>
      </c>
      <c r="J280" s="46"/>
      <c r="K280" s="107"/>
    </row>
    <row r="281" spans="1:11" s="3" customFormat="1" ht="81" customHeight="1" hidden="1">
      <c r="A281" s="50" t="s">
        <v>260</v>
      </c>
      <c r="B281" s="19" t="s">
        <v>28</v>
      </c>
      <c r="C281" s="19" t="s">
        <v>6</v>
      </c>
      <c r="D281" s="19" t="s">
        <v>193</v>
      </c>
      <c r="E281" s="19"/>
      <c r="F281" s="14"/>
      <c r="G281" s="15">
        <f>G282+G283</f>
        <v>0</v>
      </c>
      <c r="H281" s="15">
        <f>H282+H283</f>
        <v>0</v>
      </c>
      <c r="I281" s="105">
        <f>I282+I283</f>
        <v>0</v>
      </c>
      <c r="J281" s="46"/>
      <c r="K281" s="107"/>
    </row>
    <row r="282" spans="1:11" s="3" customFormat="1" ht="15.75" hidden="1">
      <c r="A282" s="65" t="s">
        <v>180</v>
      </c>
      <c r="B282" s="19" t="s">
        <v>28</v>
      </c>
      <c r="C282" s="19" t="s">
        <v>6</v>
      </c>
      <c r="D282" s="19" t="s">
        <v>193</v>
      </c>
      <c r="E282" s="19" t="s">
        <v>81</v>
      </c>
      <c r="F282" s="14"/>
      <c r="G282" s="15"/>
      <c r="H282" s="15"/>
      <c r="I282" s="105"/>
      <c r="J282" s="46"/>
      <c r="K282" s="107"/>
    </row>
    <row r="283" spans="1:11" s="3" customFormat="1" ht="63" hidden="1">
      <c r="A283" s="39" t="s">
        <v>181</v>
      </c>
      <c r="B283" s="19" t="s">
        <v>28</v>
      </c>
      <c r="C283" s="19" t="s">
        <v>6</v>
      </c>
      <c r="D283" s="19" t="s">
        <v>193</v>
      </c>
      <c r="E283" s="19" t="s">
        <v>143</v>
      </c>
      <c r="F283" s="14"/>
      <c r="G283" s="15"/>
      <c r="H283" s="15"/>
      <c r="I283" s="105"/>
      <c r="J283" s="46"/>
      <c r="K283" s="107"/>
    </row>
    <row r="284" spans="1:11" s="53" customFormat="1" ht="15.75">
      <c r="A284" s="34" t="s">
        <v>30</v>
      </c>
      <c r="B284" s="9" t="s">
        <v>28</v>
      </c>
      <c r="C284" s="9" t="s">
        <v>7</v>
      </c>
      <c r="D284" s="9"/>
      <c r="E284" s="9"/>
      <c r="F284" s="11" t="e">
        <f>F293+F356+#REF!+#REF!</f>
        <v>#REF!</v>
      </c>
      <c r="G284" s="12">
        <f>G293+G329+G288+G285</f>
        <v>124975.23300000004</v>
      </c>
      <c r="H284" s="12">
        <f>H293+H329+H288+H285</f>
        <v>104241.8</v>
      </c>
      <c r="I284" s="12">
        <f>I293+I329+I288+I285</f>
        <v>107679.1</v>
      </c>
      <c r="J284" s="109">
        <v>117122.127</v>
      </c>
      <c r="K284" s="107">
        <f>G284-J284</f>
        <v>7853.106000000043</v>
      </c>
    </row>
    <row r="285" spans="1:11" s="53" customFormat="1" ht="78.75">
      <c r="A285" s="72" t="s">
        <v>383</v>
      </c>
      <c r="B285" s="23" t="s">
        <v>28</v>
      </c>
      <c r="C285" s="23" t="s">
        <v>7</v>
      </c>
      <c r="D285" s="23" t="s">
        <v>119</v>
      </c>
      <c r="E285" s="23"/>
      <c r="F285" s="25"/>
      <c r="G285" s="26">
        <f aca="true" t="shared" si="15" ref="G285:I286">G286</f>
        <v>0</v>
      </c>
      <c r="H285" s="26">
        <f t="shared" si="15"/>
        <v>0</v>
      </c>
      <c r="I285" s="26">
        <f t="shared" si="15"/>
        <v>0</v>
      </c>
      <c r="J285" s="109"/>
      <c r="K285" s="107"/>
    </row>
    <row r="286" spans="1:11" s="53" customFormat="1" ht="84" customHeight="1">
      <c r="A286" s="51" t="s">
        <v>382</v>
      </c>
      <c r="B286" s="23" t="s">
        <v>28</v>
      </c>
      <c r="C286" s="23" t="s">
        <v>7</v>
      </c>
      <c r="D286" s="23" t="s">
        <v>384</v>
      </c>
      <c r="E286" s="23"/>
      <c r="F286" s="25"/>
      <c r="G286" s="26">
        <f t="shared" si="15"/>
        <v>0</v>
      </c>
      <c r="H286" s="26">
        <f t="shared" si="15"/>
        <v>0</v>
      </c>
      <c r="I286" s="26">
        <f t="shared" si="15"/>
        <v>0</v>
      </c>
      <c r="J286" s="109"/>
      <c r="K286" s="107"/>
    </row>
    <row r="287" spans="1:11" s="53" customFormat="1" ht="47.25">
      <c r="A287" s="51" t="s">
        <v>213</v>
      </c>
      <c r="B287" s="23" t="s">
        <v>28</v>
      </c>
      <c r="C287" s="23" t="s">
        <v>7</v>
      </c>
      <c r="D287" s="23" t="s">
        <v>384</v>
      </c>
      <c r="E287" s="23" t="s">
        <v>214</v>
      </c>
      <c r="F287" s="25"/>
      <c r="G287" s="26"/>
      <c r="H287" s="26"/>
      <c r="I287" s="102"/>
      <c r="J287" s="109"/>
      <c r="K287" s="107"/>
    </row>
    <row r="288" spans="1:11" s="53" customFormat="1" ht="47.25">
      <c r="A288" s="81" t="s">
        <v>287</v>
      </c>
      <c r="B288" s="23" t="s">
        <v>28</v>
      </c>
      <c r="C288" s="23" t="s">
        <v>7</v>
      </c>
      <c r="D288" s="23" t="s">
        <v>175</v>
      </c>
      <c r="E288" s="23"/>
      <c r="F288" s="25"/>
      <c r="G288" s="26">
        <f aca="true" t="shared" si="16" ref="G288:I290">G289</f>
        <v>1467.0100000000002</v>
      </c>
      <c r="H288" s="26">
        <f t="shared" si="16"/>
        <v>0</v>
      </c>
      <c r="I288" s="102">
        <f t="shared" si="16"/>
        <v>0</v>
      </c>
      <c r="J288" s="109"/>
      <c r="K288" s="107"/>
    </row>
    <row r="289" spans="1:11" s="53" customFormat="1" ht="37.5" customHeight="1">
      <c r="A289" s="113" t="s">
        <v>344</v>
      </c>
      <c r="B289" s="19" t="s">
        <v>28</v>
      </c>
      <c r="C289" s="19" t="s">
        <v>7</v>
      </c>
      <c r="D289" s="23" t="s">
        <v>367</v>
      </c>
      <c r="E289" s="23"/>
      <c r="F289" s="25"/>
      <c r="G289" s="26">
        <f>G291</f>
        <v>1467.0100000000002</v>
      </c>
      <c r="H289" s="26">
        <f t="shared" si="16"/>
        <v>0</v>
      </c>
      <c r="I289" s="102">
        <f t="shared" si="16"/>
        <v>0</v>
      </c>
      <c r="J289" s="109"/>
      <c r="K289" s="107"/>
    </row>
    <row r="290" spans="1:11" s="53" customFormat="1" ht="15.75" hidden="1">
      <c r="A290" s="96"/>
      <c r="B290" s="19" t="s">
        <v>28</v>
      </c>
      <c r="C290" s="19" t="s">
        <v>7</v>
      </c>
      <c r="D290" s="23" t="s">
        <v>339</v>
      </c>
      <c r="E290" s="23"/>
      <c r="F290" s="25"/>
      <c r="G290" s="26"/>
      <c r="H290" s="26">
        <f t="shared" si="16"/>
        <v>0</v>
      </c>
      <c r="I290" s="102">
        <f t="shared" si="16"/>
        <v>0</v>
      </c>
      <c r="J290" s="109"/>
      <c r="K290" s="107"/>
    </row>
    <row r="291" spans="1:11" s="53" customFormat="1" ht="66.75" customHeight="1">
      <c r="A291" s="113" t="s">
        <v>346</v>
      </c>
      <c r="B291" s="19" t="s">
        <v>28</v>
      </c>
      <c r="C291" s="19" t="s">
        <v>7</v>
      </c>
      <c r="D291" s="23" t="s">
        <v>368</v>
      </c>
      <c r="E291" s="23"/>
      <c r="F291" s="25"/>
      <c r="G291" s="26">
        <f>G292</f>
        <v>1467.0100000000002</v>
      </c>
      <c r="H291" s="26">
        <f>H292</f>
        <v>0</v>
      </c>
      <c r="I291" s="102">
        <f>I292</f>
        <v>0</v>
      </c>
      <c r="J291" s="109"/>
      <c r="K291" s="107"/>
    </row>
    <row r="292" spans="1:11" s="53" customFormat="1" ht="47.25">
      <c r="A292" s="40" t="s">
        <v>71</v>
      </c>
      <c r="B292" s="19" t="s">
        <v>28</v>
      </c>
      <c r="C292" s="19" t="s">
        <v>7</v>
      </c>
      <c r="D292" s="23" t="s">
        <v>368</v>
      </c>
      <c r="E292" s="23" t="s">
        <v>70</v>
      </c>
      <c r="F292" s="25"/>
      <c r="G292" s="26">
        <f>1393.659+73.351</f>
        <v>1467.0100000000002</v>
      </c>
      <c r="H292" s="26"/>
      <c r="I292" s="102"/>
      <c r="J292" s="109"/>
      <c r="K292" s="107"/>
    </row>
    <row r="293" spans="1:11" s="3" customFormat="1" ht="47.25">
      <c r="A293" s="59" t="s">
        <v>286</v>
      </c>
      <c r="B293" s="19" t="s">
        <v>28</v>
      </c>
      <c r="C293" s="19" t="s">
        <v>7</v>
      </c>
      <c r="D293" s="19" t="s">
        <v>149</v>
      </c>
      <c r="E293" s="19"/>
      <c r="F293" s="14">
        <f>F301</f>
        <v>47835</v>
      </c>
      <c r="G293" s="15">
        <f>G294+G307+G319+G321+G325+G323+G304+G327</f>
        <v>118371.21300000005</v>
      </c>
      <c r="H293" s="15">
        <f>H294+H307+H319+H321+H325+H323+H304</f>
        <v>100569.8</v>
      </c>
      <c r="I293" s="15">
        <f>I294+I307+I319+I321+I325+I323+I304</f>
        <v>101869.8</v>
      </c>
      <c r="J293" s="46"/>
      <c r="K293" s="107"/>
    </row>
    <row r="294" spans="1:11" s="3" customFormat="1" ht="31.5">
      <c r="A294" s="40" t="s">
        <v>210</v>
      </c>
      <c r="B294" s="19" t="s">
        <v>28</v>
      </c>
      <c r="C294" s="19" t="s">
        <v>7</v>
      </c>
      <c r="D294" s="19" t="s">
        <v>150</v>
      </c>
      <c r="E294" s="19"/>
      <c r="F294" s="14">
        <f>F296</f>
        <v>47835</v>
      </c>
      <c r="G294" s="15">
        <f>G296+G298+G301+G302+G300+G295+G297+G303+G299</f>
        <v>19468.33800000001</v>
      </c>
      <c r="H294" s="15">
        <f>H296+H298+H301+H302+H300+H295+H297+H303</f>
        <v>16500</v>
      </c>
      <c r="I294" s="15">
        <f>I296+I298+I301+I302+I300+I295+I297+I303</f>
        <v>17800</v>
      </c>
      <c r="J294" s="46"/>
      <c r="K294" s="107"/>
    </row>
    <row r="295" spans="1:11" s="3" customFormat="1" ht="15.75">
      <c r="A295" s="32" t="s">
        <v>180</v>
      </c>
      <c r="B295" s="19" t="s">
        <v>28</v>
      </c>
      <c r="C295" s="19" t="s">
        <v>7</v>
      </c>
      <c r="D295" s="19" t="s">
        <v>150</v>
      </c>
      <c r="E295" s="19" t="s">
        <v>81</v>
      </c>
      <c r="F295" s="14"/>
      <c r="G295" s="15">
        <v>704.7</v>
      </c>
      <c r="H295" s="15">
        <v>390</v>
      </c>
      <c r="I295" s="105">
        <v>390</v>
      </c>
      <c r="J295" s="46"/>
      <c r="K295" s="107"/>
    </row>
    <row r="296" spans="1:11" s="3" customFormat="1" ht="23.25" customHeight="1">
      <c r="A296" s="40" t="s">
        <v>78</v>
      </c>
      <c r="B296" s="19" t="s">
        <v>28</v>
      </c>
      <c r="C296" s="19" t="s">
        <v>7</v>
      </c>
      <c r="D296" s="19" t="s">
        <v>150</v>
      </c>
      <c r="E296" s="19" t="s">
        <v>62</v>
      </c>
      <c r="F296" s="14">
        <f>46925+710+200</f>
        <v>47835</v>
      </c>
      <c r="G296" s="15">
        <f>7.074+0.4+4.2+0.013+1.1+6.029</f>
        <v>18.816</v>
      </c>
      <c r="H296" s="15"/>
      <c r="I296" s="105"/>
      <c r="J296" s="46"/>
      <c r="K296" s="107"/>
    </row>
    <row r="297" spans="1:11" s="3" customFormat="1" ht="63">
      <c r="A297" s="88" t="s">
        <v>181</v>
      </c>
      <c r="B297" s="19" t="s">
        <v>28</v>
      </c>
      <c r="C297" s="19" t="s">
        <v>7</v>
      </c>
      <c r="D297" s="19" t="s">
        <v>150</v>
      </c>
      <c r="E297" s="19" t="s">
        <v>143</v>
      </c>
      <c r="F297" s="14"/>
      <c r="G297" s="15">
        <f>178.69-3.712</f>
        <v>174.978</v>
      </c>
      <c r="H297" s="15">
        <v>110</v>
      </c>
      <c r="I297" s="105">
        <v>110</v>
      </c>
      <c r="J297" s="46"/>
      <c r="K297" s="107"/>
    </row>
    <row r="298" spans="1:11" s="3" customFormat="1" ht="47.25">
      <c r="A298" s="116" t="s">
        <v>71</v>
      </c>
      <c r="B298" s="84" t="s">
        <v>28</v>
      </c>
      <c r="C298" s="84" t="s">
        <v>7</v>
      </c>
      <c r="D298" s="84" t="s">
        <v>150</v>
      </c>
      <c r="E298" s="84" t="s">
        <v>70</v>
      </c>
      <c r="F298" s="117">
        <f>F301</f>
        <v>47835</v>
      </c>
      <c r="G298" s="118">
        <f>17641.102+17.857-10+0.005+0.614+6.372+0.002+3.72+13.44+1.665+12+0.096+0.614+0.8+6.045+0.1+44.041+1.08+1.11+21.57+83.055+22.77+1.8+1.8+50.019+0.088+0.614+6.34+10.5+25+0.3-1-16+6.481+10.684+8.39+16.06+1.08+38.326+6.023+6.655+5.34+6.119+2.504+6.252+3.423+3.43+4.55+2.45+2.45+100+5+8+5+1.08+0.01+0.169+0.001+0.001+0.002+0.001+0.001+0.002+0.001+0.001-23+4+51+25+3.712+59+50-74.22+3.5</f>
        <v>18295.99700000001</v>
      </c>
      <c r="H298" s="20">
        <v>16000</v>
      </c>
      <c r="I298" s="106">
        <v>17300</v>
      </c>
      <c r="J298" s="46"/>
      <c r="K298" s="107"/>
    </row>
    <row r="299" spans="1:11" s="3" customFormat="1" ht="63">
      <c r="A299" s="116" t="s">
        <v>366</v>
      </c>
      <c r="B299" s="19" t="s">
        <v>28</v>
      </c>
      <c r="C299" s="19" t="s">
        <v>7</v>
      </c>
      <c r="D299" s="19" t="s">
        <v>150</v>
      </c>
      <c r="E299" s="84" t="s">
        <v>354</v>
      </c>
      <c r="F299" s="117"/>
      <c r="G299" s="118">
        <f>25+16</f>
        <v>41</v>
      </c>
      <c r="H299" s="20"/>
      <c r="I299" s="106"/>
      <c r="J299" s="46"/>
      <c r="K299" s="107"/>
    </row>
    <row r="300" spans="1:11" s="3" customFormat="1" ht="21" customHeight="1">
      <c r="A300" s="76" t="s">
        <v>215</v>
      </c>
      <c r="B300" s="19" t="s">
        <v>28</v>
      </c>
      <c r="C300" s="19" t="s">
        <v>7</v>
      </c>
      <c r="D300" s="19" t="s">
        <v>150</v>
      </c>
      <c r="E300" s="19" t="s">
        <v>83</v>
      </c>
      <c r="F300" s="14"/>
      <c r="G300" s="20">
        <f>59.789+2</f>
        <v>61.789</v>
      </c>
      <c r="H300" s="20"/>
      <c r="I300" s="106"/>
      <c r="J300" s="46"/>
      <c r="K300" s="107"/>
    </row>
    <row r="301" spans="1:11" s="3" customFormat="1" ht="31.5" hidden="1">
      <c r="A301" s="40" t="s">
        <v>72</v>
      </c>
      <c r="B301" s="19" t="s">
        <v>28</v>
      </c>
      <c r="C301" s="19" t="s">
        <v>7</v>
      </c>
      <c r="D301" s="19" t="s">
        <v>150</v>
      </c>
      <c r="E301" s="19" t="s">
        <v>74</v>
      </c>
      <c r="F301" s="14">
        <f>46925+710+200</f>
        <v>47835</v>
      </c>
      <c r="G301" s="20"/>
      <c r="H301" s="20"/>
      <c r="I301" s="106"/>
      <c r="J301" s="46"/>
      <c r="K301" s="107"/>
    </row>
    <row r="302" spans="1:11" s="3" customFormat="1" ht="31.5">
      <c r="A302" s="45" t="s">
        <v>79</v>
      </c>
      <c r="B302" s="19" t="s">
        <v>28</v>
      </c>
      <c r="C302" s="19" t="s">
        <v>7</v>
      </c>
      <c r="D302" s="19" t="s">
        <v>150</v>
      </c>
      <c r="E302" s="54" t="s">
        <v>82</v>
      </c>
      <c r="F302" s="14"/>
      <c r="G302" s="20">
        <f>43.671+2.85</f>
        <v>46.521</v>
      </c>
      <c r="H302" s="20"/>
      <c r="I302" s="106"/>
      <c r="J302" s="46"/>
      <c r="K302" s="107"/>
    </row>
    <row r="303" spans="1:11" s="3" customFormat="1" ht="15.75">
      <c r="A303" s="76" t="s">
        <v>203</v>
      </c>
      <c r="B303" s="19" t="s">
        <v>28</v>
      </c>
      <c r="C303" s="19" t="s">
        <v>7</v>
      </c>
      <c r="D303" s="19" t="s">
        <v>150</v>
      </c>
      <c r="E303" s="54" t="s">
        <v>201</v>
      </c>
      <c r="F303" s="14"/>
      <c r="G303" s="20">
        <f>20+0.368+0.003+1.522+0.7+90.192+10+0.506+0.363+0.028+0.004+0.177+0.018+0.148+0.016+0.448+0.044</f>
        <v>124.537</v>
      </c>
      <c r="H303" s="20"/>
      <c r="I303" s="106"/>
      <c r="J303" s="46"/>
      <c r="K303" s="107"/>
    </row>
    <row r="304" spans="1:11" s="3" customFormat="1" ht="78.75">
      <c r="A304" s="45" t="s">
        <v>378</v>
      </c>
      <c r="B304" s="19" t="s">
        <v>28</v>
      </c>
      <c r="C304" s="19" t="s">
        <v>7</v>
      </c>
      <c r="D304" s="19" t="s">
        <v>377</v>
      </c>
      <c r="E304" s="54"/>
      <c r="F304" s="14"/>
      <c r="G304" s="20">
        <f>G305+G306</f>
        <v>2577.96</v>
      </c>
      <c r="H304" s="20">
        <f>H305+H306</f>
        <v>0</v>
      </c>
      <c r="I304" s="20">
        <f>I305+I306</f>
        <v>0</v>
      </c>
      <c r="J304" s="46"/>
      <c r="K304" s="107"/>
    </row>
    <row r="305" spans="1:11" s="3" customFormat="1" ht="15.75">
      <c r="A305" s="127" t="s">
        <v>379</v>
      </c>
      <c r="B305" s="19" t="s">
        <v>28</v>
      </c>
      <c r="C305" s="19" t="s">
        <v>7</v>
      </c>
      <c r="D305" s="19" t="s">
        <v>377</v>
      </c>
      <c r="E305" s="54" t="s">
        <v>81</v>
      </c>
      <c r="F305" s="14"/>
      <c r="G305" s="20">
        <v>1980</v>
      </c>
      <c r="H305" s="20"/>
      <c r="I305" s="106"/>
      <c r="J305" s="46"/>
      <c r="K305" s="107"/>
    </row>
    <row r="306" spans="1:11" s="3" customFormat="1" ht="63">
      <c r="A306" s="45" t="s">
        <v>380</v>
      </c>
      <c r="B306" s="19" t="s">
        <v>28</v>
      </c>
      <c r="C306" s="19" t="s">
        <v>7</v>
      </c>
      <c r="D306" s="19" t="s">
        <v>377</v>
      </c>
      <c r="E306" s="54" t="s">
        <v>143</v>
      </c>
      <c r="F306" s="14"/>
      <c r="G306" s="20">
        <v>597.96</v>
      </c>
      <c r="H306" s="20"/>
      <c r="I306" s="106"/>
      <c r="J306" s="46"/>
      <c r="K306" s="107"/>
    </row>
    <row r="307" spans="1:11" s="3" customFormat="1" ht="47.25">
      <c r="A307" s="45" t="s">
        <v>261</v>
      </c>
      <c r="B307" s="23" t="s">
        <v>28</v>
      </c>
      <c r="C307" s="23" t="s">
        <v>7</v>
      </c>
      <c r="D307" s="23" t="s">
        <v>233</v>
      </c>
      <c r="E307" s="23"/>
      <c r="F307" s="14">
        <f>F330</f>
        <v>0</v>
      </c>
      <c r="G307" s="15">
        <f>G308+G312+G316</f>
        <v>85980.80000000002</v>
      </c>
      <c r="H307" s="15">
        <f>H308+H312+H316</f>
        <v>84069.8</v>
      </c>
      <c r="I307" s="105">
        <f>I308+I312+I316</f>
        <v>84069.8</v>
      </c>
      <c r="J307" s="46"/>
      <c r="K307" s="107"/>
    </row>
    <row r="308" spans="1:11" s="3" customFormat="1" ht="78.75">
      <c r="A308" s="45" t="s">
        <v>262</v>
      </c>
      <c r="B308" s="23" t="s">
        <v>28</v>
      </c>
      <c r="C308" s="23" t="s">
        <v>7</v>
      </c>
      <c r="D308" s="23" t="s">
        <v>233</v>
      </c>
      <c r="E308" s="23"/>
      <c r="F308" s="14"/>
      <c r="G308" s="15">
        <f>G309+G310+G311</f>
        <v>66699.3</v>
      </c>
      <c r="H308" s="15">
        <f>H309+H310+H311</f>
        <v>64786.600000000006</v>
      </c>
      <c r="I308" s="105">
        <f>I309+I310+I311</f>
        <v>64786.600000000006</v>
      </c>
      <c r="J308" s="46"/>
      <c r="K308" s="107"/>
    </row>
    <row r="309" spans="1:11" s="3" customFormat="1" ht="15.75">
      <c r="A309" s="32" t="s">
        <v>180</v>
      </c>
      <c r="B309" s="23" t="s">
        <v>28</v>
      </c>
      <c r="C309" s="23" t="s">
        <v>7</v>
      </c>
      <c r="D309" s="23" t="s">
        <v>233</v>
      </c>
      <c r="E309" s="23" t="s">
        <v>81</v>
      </c>
      <c r="F309" s="14"/>
      <c r="G309" s="26">
        <f>49759.3+1469.15</f>
        <v>51228.450000000004</v>
      </c>
      <c r="H309" s="26">
        <v>49759.3</v>
      </c>
      <c r="I309" s="102">
        <v>49759.3</v>
      </c>
      <c r="J309" s="46"/>
      <c r="K309" s="107"/>
    </row>
    <row r="310" spans="1:11" s="3" customFormat="1" ht="47.25" hidden="1">
      <c r="A310" s="32" t="s">
        <v>78</v>
      </c>
      <c r="B310" s="23" t="s">
        <v>28</v>
      </c>
      <c r="C310" s="23" t="s">
        <v>7</v>
      </c>
      <c r="D310" s="23" t="s">
        <v>233</v>
      </c>
      <c r="E310" s="23" t="s">
        <v>62</v>
      </c>
      <c r="F310" s="14"/>
      <c r="G310" s="26"/>
      <c r="H310" s="15"/>
      <c r="I310" s="105"/>
      <c r="J310" s="46"/>
      <c r="K310" s="107"/>
    </row>
    <row r="311" spans="1:11" s="3" customFormat="1" ht="63">
      <c r="A311" s="39" t="s">
        <v>181</v>
      </c>
      <c r="B311" s="23" t="s">
        <v>28</v>
      </c>
      <c r="C311" s="23" t="s">
        <v>7</v>
      </c>
      <c r="D311" s="23" t="s">
        <v>233</v>
      </c>
      <c r="E311" s="23" t="s">
        <v>143</v>
      </c>
      <c r="F311" s="14"/>
      <c r="G311" s="26">
        <f>15027.3+443.55</f>
        <v>15470.849999999999</v>
      </c>
      <c r="H311" s="15">
        <v>15027.3</v>
      </c>
      <c r="I311" s="105">
        <v>15027.3</v>
      </c>
      <c r="J311" s="46"/>
      <c r="K311" s="107"/>
    </row>
    <row r="312" spans="1:11" s="3" customFormat="1" ht="78.75">
      <c r="A312" s="38" t="s">
        <v>263</v>
      </c>
      <c r="B312" s="23" t="s">
        <v>28</v>
      </c>
      <c r="C312" s="23" t="s">
        <v>7</v>
      </c>
      <c r="D312" s="23" t="s">
        <v>234</v>
      </c>
      <c r="E312" s="23"/>
      <c r="F312" s="14"/>
      <c r="G312" s="119">
        <f>G313+G314+G315</f>
        <v>17049.9</v>
      </c>
      <c r="H312" s="26">
        <f>H313+H314+H315</f>
        <v>18171.2</v>
      </c>
      <c r="I312" s="102">
        <f>I313+I314+I315</f>
        <v>18171.2</v>
      </c>
      <c r="J312" s="46"/>
      <c r="K312" s="107"/>
    </row>
    <row r="313" spans="1:11" s="3" customFormat="1" ht="15.75">
      <c r="A313" s="32" t="s">
        <v>180</v>
      </c>
      <c r="B313" s="23" t="s">
        <v>28</v>
      </c>
      <c r="C313" s="23" t="s">
        <v>7</v>
      </c>
      <c r="D313" s="23" t="s">
        <v>234</v>
      </c>
      <c r="E313" s="23" t="s">
        <v>81</v>
      </c>
      <c r="F313" s="14"/>
      <c r="G313" s="26">
        <f>14948.2-0.122-1853</f>
        <v>13095.078000000001</v>
      </c>
      <c r="H313" s="15">
        <v>13956.4</v>
      </c>
      <c r="I313" s="105">
        <v>13956.4</v>
      </c>
      <c r="J313" s="46"/>
      <c r="K313" s="107"/>
    </row>
    <row r="314" spans="1:11" s="3" customFormat="1" ht="47.25" hidden="1">
      <c r="A314" s="32" t="s">
        <v>78</v>
      </c>
      <c r="B314" s="23" t="s">
        <v>28</v>
      </c>
      <c r="C314" s="23" t="s">
        <v>7</v>
      </c>
      <c r="D314" s="23" t="s">
        <v>234</v>
      </c>
      <c r="E314" s="23" t="s">
        <v>62</v>
      </c>
      <c r="F314" s="14"/>
      <c r="G314" s="26"/>
      <c r="H314" s="15"/>
      <c r="I314" s="105"/>
      <c r="J314" s="46"/>
      <c r="K314" s="107"/>
    </row>
    <row r="315" spans="1:11" s="3" customFormat="1" ht="63">
      <c r="A315" s="39" t="s">
        <v>181</v>
      </c>
      <c r="B315" s="23" t="s">
        <v>28</v>
      </c>
      <c r="C315" s="23" t="s">
        <v>7</v>
      </c>
      <c r="D315" s="23" t="s">
        <v>234</v>
      </c>
      <c r="E315" s="23" t="s">
        <v>143</v>
      </c>
      <c r="F315" s="14"/>
      <c r="G315" s="26">
        <f>4514.4+0.122-559.7</f>
        <v>3954.822</v>
      </c>
      <c r="H315" s="15">
        <v>4214.8</v>
      </c>
      <c r="I315" s="105">
        <v>4214.8</v>
      </c>
      <c r="J315" s="46"/>
      <c r="K315" s="107"/>
    </row>
    <row r="316" spans="1:11" s="3" customFormat="1" ht="63.75" customHeight="1">
      <c r="A316" s="38" t="s">
        <v>264</v>
      </c>
      <c r="B316" s="23" t="s">
        <v>28</v>
      </c>
      <c r="C316" s="23" t="s">
        <v>7</v>
      </c>
      <c r="D316" s="23" t="s">
        <v>235</v>
      </c>
      <c r="E316" s="23"/>
      <c r="F316" s="14"/>
      <c r="G316" s="26">
        <f>G317</f>
        <v>2231.6</v>
      </c>
      <c r="H316" s="26">
        <f>H317</f>
        <v>1112</v>
      </c>
      <c r="I316" s="102">
        <f>I317</f>
        <v>1112</v>
      </c>
      <c r="J316" s="46"/>
      <c r="K316" s="107"/>
    </row>
    <row r="317" spans="1:11" s="3" customFormat="1" ht="47.25">
      <c r="A317" s="40" t="s">
        <v>71</v>
      </c>
      <c r="B317" s="23" t="s">
        <v>28</v>
      </c>
      <c r="C317" s="23" t="s">
        <v>7</v>
      </c>
      <c r="D317" s="23" t="s">
        <v>235</v>
      </c>
      <c r="E317" s="23" t="s">
        <v>70</v>
      </c>
      <c r="F317" s="14"/>
      <c r="G317" s="26">
        <f>1731.6+500</f>
        <v>2231.6</v>
      </c>
      <c r="H317" s="26">
        <v>1112</v>
      </c>
      <c r="I317" s="102">
        <v>1112</v>
      </c>
      <c r="J317" s="46"/>
      <c r="K317" s="107"/>
    </row>
    <row r="318" spans="1:11" s="3" customFormat="1" ht="31.5" hidden="1">
      <c r="A318" s="50" t="s">
        <v>79</v>
      </c>
      <c r="B318" s="23" t="s">
        <v>28</v>
      </c>
      <c r="C318" s="23" t="s">
        <v>7</v>
      </c>
      <c r="D318" s="23" t="s">
        <v>151</v>
      </c>
      <c r="E318" s="23" t="s">
        <v>82</v>
      </c>
      <c r="F318" s="14">
        <f>F330</f>
        <v>0</v>
      </c>
      <c r="G318" s="26"/>
      <c r="H318" s="26"/>
      <c r="I318" s="102"/>
      <c r="J318" s="46"/>
      <c r="K318" s="107"/>
    </row>
    <row r="319" spans="1:11" s="3" customFormat="1" ht="65.25" customHeight="1">
      <c r="A319" s="65" t="s">
        <v>265</v>
      </c>
      <c r="B319" s="23" t="s">
        <v>28</v>
      </c>
      <c r="C319" s="23" t="s">
        <v>7</v>
      </c>
      <c r="D319" s="23" t="s">
        <v>298</v>
      </c>
      <c r="E319" s="23"/>
      <c r="F319" s="14"/>
      <c r="G319" s="26">
        <f>G320</f>
        <v>702</v>
      </c>
      <c r="H319" s="26">
        <f>H320</f>
        <v>0</v>
      </c>
      <c r="I319" s="102">
        <f>I320</f>
        <v>0</v>
      </c>
      <c r="J319" s="46"/>
      <c r="K319" s="107"/>
    </row>
    <row r="320" spans="1:11" s="3" customFormat="1" ht="47.25">
      <c r="A320" s="40" t="s">
        <v>71</v>
      </c>
      <c r="B320" s="23" t="s">
        <v>28</v>
      </c>
      <c r="C320" s="23" t="s">
        <v>7</v>
      </c>
      <c r="D320" s="23" t="s">
        <v>298</v>
      </c>
      <c r="E320" s="23" t="s">
        <v>70</v>
      </c>
      <c r="F320" s="14"/>
      <c r="G320" s="26">
        <v>702</v>
      </c>
      <c r="H320" s="26"/>
      <c r="I320" s="102"/>
      <c r="J320" s="46"/>
      <c r="K320" s="107"/>
    </row>
    <row r="321" spans="1:11" s="3" customFormat="1" ht="78.75">
      <c r="A321" s="97" t="s">
        <v>350</v>
      </c>
      <c r="B321" s="19" t="s">
        <v>28</v>
      </c>
      <c r="C321" s="19" t="s">
        <v>7</v>
      </c>
      <c r="D321" s="19" t="s">
        <v>340</v>
      </c>
      <c r="E321" s="19"/>
      <c r="F321" s="14"/>
      <c r="G321" s="15">
        <f>G322</f>
        <v>1000</v>
      </c>
      <c r="H321" s="15"/>
      <c r="I321" s="105"/>
      <c r="J321" s="46"/>
      <c r="K321" s="107"/>
    </row>
    <row r="322" spans="1:11" s="3" customFormat="1" ht="47.25">
      <c r="A322" s="97" t="s">
        <v>71</v>
      </c>
      <c r="B322" s="19" t="s">
        <v>28</v>
      </c>
      <c r="C322" s="19" t="s">
        <v>7</v>
      </c>
      <c r="D322" s="19" t="s">
        <v>340</v>
      </c>
      <c r="E322" s="19" t="s">
        <v>70</v>
      </c>
      <c r="F322" s="14"/>
      <c r="G322" s="15">
        <v>1000</v>
      </c>
      <c r="H322" s="15"/>
      <c r="I322" s="105"/>
      <c r="J322" s="46"/>
      <c r="K322" s="107"/>
    </row>
    <row r="323" spans="1:11" s="3" customFormat="1" ht="63">
      <c r="A323" s="97" t="s">
        <v>349</v>
      </c>
      <c r="B323" s="19" t="s">
        <v>28</v>
      </c>
      <c r="C323" s="19" t="s">
        <v>7</v>
      </c>
      <c r="D323" s="19" t="s">
        <v>348</v>
      </c>
      <c r="E323" s="19"/>
      <c r="F323" s="14"/>
      <c r="G323" s="15">
        <f>G324</f>
        <v>5000</v>
      </c>
      <c r="H323" s="15"/>
      <c r="I323" s="105"/>
      <c r="J323" s="46"/>
      <c r="K323" s="107"/>
    </row>
    <row r="324" spans="1:11" s="3" customFormat="1" ht="47.25">
      <c r="A324" s="97" t="s">
        <v>71</v>
      </c>
      <c r="B324" s="19" t="s">
        <v>28</v>
      </c>
      <c r="C324" s="19" t="s">
        <v>7</v>
      </c>
      <c r="D324" s="19" t="s">
        <v>342</v>
      </c>
      <c r="E324" s="19" t="s">
        <v>70</v>
      </c>
      <c r="F324" s="14"/>
      <c r="G324" s="15">
        <v>5000</v>
      </c>
      <c r="H324" s="15"/>
      <c r="I324" s="105"/>
      <c r="J324" s="46"/>
      <c r="K324" s="107"/>
    </row>
    <row r="325" spans="1:11" s="3" customFormat="1" ht="63">
      <c r="A325" s="97" t="s">
        <v>347</v>
      </c>
      <c r="B325" s="19" t="s">
        <v>28</v>
      </c>
      <c r="C325" s="19" t="s">
        <v>7</v>
      </c>
      <c r="D325" s="19" t="s">
        <v>341</v>
      </c>
      <c r="E325" s="19"/>
      <c r="F325" s="14"/>
      <c r="G325" s="15">
        <f>G326</f>
        <v>1000</v>
      </c>
      <c r="H325" s="15"/>
      <c r="I325" s="105"/>
      <c r="J325" s="46"/>
      <c r="K325" s="107"/>
    </row>
    <row r="326" spans="1:11" s="3" customFormat="1" ht="47.25">
      <c r="A326" s="97" t="s">
        <v>71</v>
      </c>
      <c r="B326" s="19" t="s">
        <v>28</v>
      </c>
      <c r="C326" s="19" t="s">
        <v>7</v>
      </c>
      <c r="D326" s="19" t="s">
        <v>341</v>
      </c>
      <c r="E326" s="19" t="s">
        <v>70</v>
      </c>
      <c r="F326" s="14"/>
      <c r="G326" s="15">
        <v>1000</v>
      </c>
      <c r="H326" s="15"/>
      <c r="I326" s="105"/>
      <c r="J326" s="46"/>
      <c r="K326" s="107"/>
    </row>
    <row r="327" spans="1:11" s="3" customFormat="1" ht="94.5">
      <c r="A327" s="97" t="s">
        <v>382</v>
      </c>
      <c r="B327" s="19" t="s">
        <v>28</v>
      </c>
      <c r="C327" s="19" t="s">
        <v>7</v>
      </c>
      <c r="D327" s="19" t="s">
        <v>381</v>
      </c>
      <c r="E327" s="19"/>
      <c r="F327" s="14"/>
      <c r="G327" s="15">
        <f>G328</f>
        <v>2642.115</v>
      </c>
      <c r="H327" s="15">
        <f>H328</f>
        <v>0</v>
      </c>
      <c r="I327" s="15">
        <f>I328</f>
        <v>0</v>
      </c>
      <c r="J327" s="46"/>
      <c r="K327" s="107"/>
    </row>
    <row r="328" spans="1:11" s="3" customFormat="1" ht="47.25">
      <c r="A328" s="97" t="s">
        <v>213</v>
      </c>
      <c r="B328" s="19" t="s">
        <v>28</v>
      </c>
      <c r="C328" s="19" t="s">
        <v>7</v>
      </c>
      <c r="D328" s="19" t="s">
        <v>381</v>
      </c>
      <c r="E328" s="19" t="s">
        <v>214</v>
      </c>
      <c r="F328" s="14"/>
      <c r="G328" s="15">
        <f>2242.115+400</f>
        <v>2642.115</v>
      </c>
      <c r="H328" s="15"/>
      <c r="I328" s="105"/>
      <c r="J328" s="46"/>
      <c r="K328" s="107"/>
    </row>
    <row r="329" spans="1:11" s="3" customFormat="1" ht="31.5">
      <c r="A329" s="39" t="s">
        <v>73</v>
      </c>
      <c r="B329" s="19" t="s">
        <v>28</v>
      </c>
      <c r="C329" s="19" t="s">
        <v>7</v>
      </c>
      <c r="D329" s="19" t="s">
        <v>115</v>
      </c>
      <c r="E329" s="54"/>
      <c r="F329" s="14"/>
      <c r="G329" s="15">
        <f>G334+G332+G330+G337</f>
        <v>5137.01</v>
      </c>
      <c r="H329" s="15">
        <f>H334+H332+H330+H337</f>
        <v>3672</v>
      </c>
      <c r="I329" s="105">
        <f>I334+I332+I330+I337</f>
        <v>5809.299999999999</v>
      </c>
      <c r="J329" s="46"/>
      <c r="K329" s="107"/>
    </row>
    <row r="330" spans="1:11" s="3" customFormat="1" ht="63" customHeight="1">
      <c r="A330" s="45" t="s">
        <v>266</v>
      </c>
      <c r="B330" s="23" t="s">
        <v>28</v>
      </c>
      <c r="C330" s="23" t="s">
        <v>7</v>
      </c>
      <c r="D330" s="23" t="s">
        <v>154</v>
      </c>
      <c r="E330" s="23"/>
      <c r="F330" s="14"/>
      <c r="G330" s="15">
        <f>G331</f>
        <v>3358.11</v>
      </c>
      <c r="H330" s="15">
        <f>H331</f>
        <v>3672</v>
      </c>
      <c r="I330" s="105">
        <f>I331</f>
        <v>2364.6</v>
      </c>
      <c r="J330" s="46"/>
      <c r="K330" s="107"/>
    </row>
    <row r="331" spans="1:11" s="3" customFormat="1" ht="47.25">
      <c r="A331" s="32" t="s">
        <v>213</v>
      </c>
      <c r="B331" s="23" t="s">
        <v>28</v>
      </c>
      <c r="C331" s="23" t="s">
        <v>7</v>
      </c>
      <c r="D331" s="23" t="s">
        <v>154</v>
      </c>
      <c r="E331" s="23" t="s">
        <v>214</v>
      </c>
      <c r="F331" s="14"/>
      <c r="G331" s="15">
        <f>3672-313.89</f>
        <v>3358.11</v>
      </c>
      <c r="H331" s="15">
        <v>3672</v>
      </c>
      <c r="I331" s="105">
        <v>2364.6</v>
      </c>
      <c r="J331" s="46"/>
      <c r="K331" s="107"/>
    </row>
    <row r="332" spans="1:11" s="3" customFormat="1" ht="99" customHeight="1">
      <c r="A332" s="67" t="s">
        <v>184</v>
      </c>
      <c r="B332" s="19" t="s">
        <v>28</v>
      </c>
      <c r="C332" s="19" t="s">
        <v>7</v>
      </c>
      <c r="D332" s="19" t="s">
        <v>155</v>
      </c>
      <c r="E332" s="19"/>
      <c r="F332" s="14"/>
      <c r="G332" s="15">
        <f>G333</f>
        <v>1720</v>
      </c>
      <c r="H332" s="15">
        <f>H333</f>
        <v>0</v>
      </c>
      <c r="I332" s="105">
        <f>I333</f>
        <v>0</v>
      </c>
      <c r="J332" s="46"/>
      <c r="K332" s="107"/>
    </row>
    <row r="333" spans="1:11" s="3" customFormat="1" ht="15.75">
      <c r="A333" s="67" t="s">
        <v>57</v>
      </c>
      <c r="B333" s="19" t="s">
        <v>28</v>
      </c>
      <c r="C333" s="19" t="s">
        <v>7</v>
      </c>
      <c r="D333" s="19" t="s">
        <v>155</v>
      </c>
      <c r="E333" s="19" t="s">
        <v>88</v>
      </c>
      <c r="F333" s="14"/>
      <c r="G333" s="15">
        <f>1720</f>
        <v>1720</v>
      </c>
      <c r="H333" s="15"/>
      <c r="I333" s="105"/>
      <c r="J333" s="46"/>
      <c r="K333" s="107"/>
    </row>
    <row r="334" spans="1:11" s="3" customFormat="1" ht="104.25" customHeight="1">
      <c r="A334" s="50" t="s">
        <v>194</v>
      </c>
      <c r="B334" s="19" t="s">
        <v>28</v>
      </c>
      <c r="C334" s="19" t="s">
        <v>7</v>
      </c>
      <c r="D334" s="19" t="s">
        <v>193</v>
      </c>
      <c r="E334" s="19"/>
      <c r="F334" s="14"/>
      <c r="G334" s="15">
        <f>G335+G336</f>
        <v>58.9</v>
      </c>
      <c r="H334" s="15">
        <f>H335+H336</f>
        <v>0</v>
      </c>
      <c r="I334" s="105">
        <f>I335+I336</f>
        <v>0</v>
      </c>
      <c r="J334" s="46"/>
      <c r="K334" s="107"/>
    </row>
    <row r="335" spans="1:11" s="3" customFormat="1" ht="15.75">
      <c r="A335" s="50" t="s">
        <v>180</v>
      </c>
      <c r="B335" s="19" t="s">
        <v>28</v>
      </c>
      <c r="C335" s="19" t="s">
        <v>7</v>
      </c>
      <c r="D335" s="19" t="s">
        <v>193</v>
      </c>
      <c r="E335" s="19" t="s">
        <v>81</v>
      </c>
      <c r="F335" s="14"/>
      <c r="G335" s="15">
        <f>25+20</f>
        <v>45</v>
      </c>
      <c r="H335" s="15"/>
      <c r="I335" s="105"/>
      <c r="J335" s="46"/>
      <c r="K335" s="107"/>
    </row>
    <row r="336" spans="1:11" s="3" customFormat="1" ht="63">
      <c r="A336" s="39" t="s">
        <v>181</v>
      </c>
      <c r="B336" s="19" t="s">
        <v>28</v>
      </c>
      <c r="C336" s="19" t="s">
        <v>7</v>
      </c>
      <c r="D336" s="19" t="s">
        <v>193</v>
      </c>
      <c r="E336" s="19" t="s">
        <v>143</v>
      </c>
      <c r="F336" s="14"/>
      <c r="G336" s="15">
        <f>7.9+6</f>
        <v>13.9</v>
      </c>
      <c r="H336" s="15"/>
      <c r="I336" s="105"/>
      <c r="J336" s="46"/>
      <c r="K336" s="107"/>
    </row>
    <row r="337" spans="1:11" s="3" customFormat="1" ht="63">
      <c r="A337" s="76" t="s">
        <v>329</v>
      </c>
      <c r="B337" s="19" t="s">
        <v>28</v>
      </c>
      <c r="C337" s="19" t="s">
        <v>7</v>
      </c>
      <c r="D337" s="19" t="s">
        <v>330</v>
      </c>
      <c r="E337" s="55"/>
      <c r="F337" s="14"/>
      <c r="G337" s="15">
        <f>G338</f>
        <v>0</v>
      </c>
      <c r="H337" s="15">
        <f>H338</f>
        <v>0</v>
      </c>
      <c r="I337" s="105">
        <f>I338</f>
        <v>3444.7</v>
      </c>
      <c r="J337" s="46"/>
      <c r="K337" s="107"/>
    </row>
    <row r="338" spans="1:11" s="3" customFormat="1" ht="47.25">
      <c r="A338" s="65" t="s">
        <v>71</v>
      </c>
      <c r="B338" s="19" t="s">
        <v>28</v>
      </c>
      <c r="C338" s="19" t="s">
        <v>7</v>
      </c>
      <c r="D338" s="19" t="s">
        <v>330</v>
      </c>
      <c r="E338" s="55" t="s">
        <v>70</v>
      </c>
      <c r="F338" s="14"/>
      <c r="G338" s="15"/>
      <c r="H338" s="15"/>
      <c r="I338" s="105">
        <v>3444.7</v>
      </c>
      <c r="J338" s="46"/>
      <c r="K338" s="107"/>
    </row>
    <row r="339" spans="1:11" s="56" customFormat="1" ht="15.75">
      <c r="A339" s="83" t="s">
        <v>208</v>
      </c>
      <c r="B339" s="30" t="s">
        <v>28</v>
      </c>
      <c r="C339" s="30" t="s">
        <v>9</v>
      </c>
      <c r="D339" s="30"/>
      <c r="E339" s="30"/>
      <c r="F339" s="28"/>
      <c r="G339" s="29">
        <f>G340+G354+G344+G349+G365</f>
        <v>10861.275000000001</v>
      </c>
      <c r="H339" s="29">
        <f>H340+H354+H344+H349+H365</f>
        <v>11108.800000000001</v>
      </c>
      <c r="I339" s="101">
        <f>I340+I354+I344+I349+I365</f>
        <v>11308.800000000001</v>
      </c>
      <c r="J339" s="108"/>
      <c r="K339" s="107"/>
    </row>
    <row r="340" spans="1:11" s="53" customFormat="1" ht="126">
      <c r="A340" s="77" t="s">
        <v>285</v>
      </c>
      <c r="B340" s="19" t="s">
        <v>28</v>
      </c>
      <c r="C340" s="19" t="s">
        <v>9</v>
      </c>
      <c r="D340" s="19" t="s">
        <v>147</v>
      </c>
      <c r="E340" s="19"/>
      <c r="F340" s="11"/>
      <c r="G340" s="26">
        <f>G341</f>
        <v>3601.0000000000005</v>
      </c>
      <c r="H340" s="26">
        <f>H341</f>
        <v>4700</v>
      </c>
      <c r="I340" s="102">
        <f>I341</f>
        <v>4800</v>
      </c>
      <c r="J340" s="109"/>
      <c r="K340" s="107"/>
    </row>
    <row r="341" spans="1:11" s="53" customFormat="1" ht="31.5">
      <c r="A341" s="50" t="s">
        <v>102</v>
      </c>
      <c r="B341" s="19" t="s">
        <v>28</v>
      </c>
      <c r="C341" s="19" t="s">
        <v>9</v>
      </c>
      <c r="D341" s="19" t="s">
        <v>148</v>
      </c>
      <c r="E341" s="19"/>
      <c r="F341" s="11"/>
      <c r="G341" s="26">
        <f>G342+G343</f>
        <v>3601.0000000000005</v>
      </c>
      <c r="H341" s="26">
        <f>H342+H343</f>
        <v>4700</v>
      </c>
      <c r="I341" s="102">
        <f>I342+I343</f>
        <v>4800</v>
      </c>
      <c r="J341" s="109"/>
      <c r="K341" s="107"/>
    </row>
    <row r="342" spans="1:11" s="53" customFormat="1" ht="84" customHeight="1">
      <c r="A342" s="67" t="s">
        <v>80</v>
      </c>
      <c r="B342" s="19" t="s">
        <v>28</v>
      </c>
      <c r="C342" s="19" t="s">
        <v>9</v>
      </c>
      <c r="D342" s="19" t="s">
        <v>148</v>
      </c>
      <c r="E342" s="19" t="s">
        <v>59</v>
      </c>
      <c r="F342" s="11"/>
      <c r="G342" s="26">
        <f>4519.6-918.6</f>
        <v>3601.0000000000005</v>
      </c>
      <c r="H342" s="26">
        <v>4700</v>
      </c>
      <c r="I342" s="102">
        <v>4800</v>
      </c>
      <c r="J342" s="109"/>
      <c r="K342" s="107"/>
    </row>
    <row r="343" spans="1:11" s="53" customFormat="1" ht="31.5">
      <c r="A343" s="89" t="s">
        <v>61</v>
      </c>
      <c r="B343" s="19" t="s">
        <v>28</v>
      </c>
      <c r="C343" s="19" t="s">
        <v>9</v>
      </c>
      <c r="D343" s="19" t="s">
        <v>148</v>
      </c>
      <c r="E343" s="19" t="s">
        <v>60</v>
      </c>
      <c r="F343" s="11"/>
      <c r="G343" s="26">
        <f>35-35</f>
        <v>0</v>
      </c>
      <c r="H343" s="26"/>
      <c r="I343" s="102"/>
      <c r="J343" s="109"/>
      <c r="K343" s="107"/>
    </row>
    <row r="344" spans="1:11" s="53" customFormat="1" ht="47.25">
      <c r="A344" s="59" t="s">
        <v>284</v>
      </c>
      <c r="B344" s="19" t="s">
        <v>28</v>
      </c>
      <c r="C344" s="19" t="s">
        <v>9</v>
      </c>
      <c r="D344" s="19" t="s">
        <v>144</v>
      </c>
      <c r="E344" s="19"/>
      <c r="F344" s="11"/>
      <c r="G344" s="26">
        <f>G345</f>
        <v>105.6</v>
      </c>
      <c r="H344" s="26">
        <f>H345</f>
        <v>105.6</v>
      </c>
      <c r="I344" s="102">
        <f>I345</f>
        <v>105.6</v>
      </c>
      <c r="J344" s="109"/>
      <c r="K344" s="107"/>
    </row>
    <row r="345" spans="1:11" s="53" customFormat="1" ht="47.25">
      <c r="A345" s="65" t="s">
        <v>267</v>
      </c>
      <c r="B345" s="23" t="s">
        <v>28</v>
      </c>
      <c r="C345" s="23" t="s">
        <v>9</v>
      </c>
      <c r="D345" s="84" t="s">
        <v>297</v>
      </c>
      <c r="E345" s="23"/>
      <c r="F345" s="11"/>
      <c r="G345" s="26">
        <f>G348+G346+G347</f>
        <v>105.6</v>
      </c>
      <c r="H345" s="26">
        <f>H348+H346+H347</f>
        <v>105.6</v>
      </c>
      <c r="I345" s="102">
        <f>I348+I346+I347</f>
        <v>105.6</v>
      </c>
      <c r="J345" s="109"/>
      <c r="K345" s="107"/>
    </row>
    <row r="346" spans="1:11" s="53" customFormat="1" ht="15.75" hidden="1">
      <c r="A346" s="32" t="s">
        <v>180</v>
      </c>
      <c r="B346" s="23" t="s">
        <v>28</v>
      </c>
      <c r="C346" s="23" t="s">
        <v>9</v>
      </c>
      <c r="D346" s="84" t="s">
        <v>297</v>
      </c>
      <c r="E346" s="23" t="s">
        <v>81</v>
      </c>
      <c r="F346" s="11"/>
      <c r="G346" s="26"/>
      <c r="H346" s="26"/>
      <c r="I346" s="102"/>
      <c r="J346" s="109"/>
      <c r="K346" s="107"/>
    </row>
    <row r="347" spans="1:11" s="53" customFormat="1" ht="63" hidden="1">
      <c r="A347" s="39" t="s">
        <v>181</v>
      </c>
      <c r="B347" s="23" t="s">
        <v>28</v>
      </c>
      <c r="C347" s="23" t="s">
        <v>9</v>
      </c>
      <c r="D347" s="84" t="s">
        <v>297</v>
      </c>
      <c r="E347" s="23" t="s">
        <v>143</v>
      </c>
      <c r="F347" s="11"/>
      <c r="G347" s="26"/>
      <c r="H347" s="26"/>
      <c r="I347" s="102"/>
      <c r="J347" s="109"/>
      <c r="K347" s="107"/>
    </row>
    <row r="348" spans="1:11" s="53" customFormat="1" ht="47.25">
      <c r="A348" s="65" t="s">
        <v>71</v>
      </c>
      <c r="B348" s="23" t="s">
        <v>28</v>
      </c>
      <c r="C348" s="23" t="s">
        <v>9</v>
      </c>
      <c r="D348" s="84" t="s">
        <v>297</v>
      </c>
      <c r="E348" s="23" t="s">
        <v>70</v>
      </c>
      <c r="F348" s="11"/>
      <c r="G348" s="26">
        <v>105.6</v>
      </c>
      <c r="H348" s="26">
        <v>105.6</v>
      </c>
      <c r="I348" s="102">
        <v>105.6</v>
      </c>
      <c r="J348" s="109"/>
      <c r="K348" s="107"/>
    </row>
    <row r="349" spans="1:11" s="53" customFormat="1" ht="47.25">
      <c r="A349" s="59" t="s">
        <v>283</v>
      </c>
      <c r="B349" s="19" t="s">
        <v>28</v>
      </c>
      <c r="C349" s="19" t="s">
        <v>9</v>
      </c>
      <c r="D349" s="19" t="s">
        <v>149</v>
      </c>
      <c r="E349" s="23"/>
      <c r="F349" s="11"/>
      <c r="G349" s="26">
        <f>G350</f>
        <v>603.2</v>
      </c>
      <c r="H349" s="26">
        <f>H350</f>
        <v>603.2</v>
      </c>
      <c r="I349" s="102">
        <f>I350</f>
        <v>603.2</v>
      </c>
      <c r="J349" s="109"/>
      <c r="K349" s="107"/>
    </row>
    <row r="350" spans="1:11" s="53" customFormat="1" ht="47.25">
      <c r="A350" s="65" t="s">
        <v>267</v>
      </c>
      <c r="B350" s="23" t="s">
        <v>28</v>
      </c>
      <c r="C350" s="23" t="s">
        <v>9</v>
      </c>
      <c r="D350" s="84" t="s">
        <v>299</v>
      </c>
      <c r="E350" s="23"/>
      <c r="F350" s="11"/>
      <c r="G350" s="26">
        <f>G353+G351+G352</f>
        <v>603.2</v>
      </c>
      <c r="H350" s="26">
        <f>H353+H351+H352</f>
        <v>603.2</v>
      </c>
      <c r="I350" s="102">
        <f>I353+I351+I352</f>
        <v>603.2</v>
      </c>
      <c r="J350" s="109"/>
      <c r="K350" s="107"/>
    </row>
    <row r="351" spans="1:11" s="53" customFormat="1" ht="15.75" hidden="1">
      <c r="A351" s="32" t="s">
        <v>180</v>
      </c>
      <c r="B351" s="23" t="s">
        <v>28</v>
      </c>
      <c r="C351" s="23" t="s">
        <v>9</v>
      </c>
      <c r="D351" s="84" t="s">
        <v>299</v>
      </c>
      <c r="E351" s="23" t="s">
        <v>81</v>
      </c>
      <c r="F351" s="11"/>
      <c r="G351" s="26"/>
      <c r="H351" s="26"/>
      <c r="I351" s="102"/>
      <c r="J351" s="109"/>
      <c r="K351" s="107"/>
    </row>
    <row r="352" spans="1:11" s="53" customFormat="1" ht="63" hidden="1">
      <c r="A352" s="39" t="s">
        <v>181</v>
      </c>
      <c r="B352" s="23" t="s">
        <v>28</v>
      </c>
      <c r="C352" s="23" t="s">
        <v>9</v>
      </c>
      <c r="D352" s="84" t="s">
        <v>299</v>
      </c>
      <c r="E352" s="23" t="s">
        <v>143</v>
      </c>
      <c r="F352" s="11"/>
      <c r="G352" s="26"/>
      <c r="H352" s="26"/>
      <c r="I352" s="102"/>
      <c r="J352" s="109"/>
      <c r="K352" s="107"/>
    </row>
    <row r="353" spans="1:11" s="53" customFormat="1" ht="47.25">
      <c r="A353" s="65" t="s">
        <v>71</v>
      </c>
      <c r="B353" s="23" t="s">
        <v>28</v>
      </c>
      <c r="C353" s="23" t="s">
        <v>9</v>
      </c>
      <c r="D353" s="84" t="s">
        <v>299</v>
      </c>
      <c r="E353" s="23" t="s">
        <v>70</v>
      </c>
      <c r="F353" s="11"/>
      <c r="G353" s="26">
        <v>603.2</v>
      </c>
      <c r="H353" s="26">
        <v>603.2</v>
      </c>
      <c r="I353" s="102">
        <v>603.2</v>
      </c>
      <c r="J353" s="109"/>
      <c r="K353" s="107"/>
    </row>
    <row r="354" spans="1:11" s="3" customFormat="1" ht="63">
      <c r="A354" s="75" t="s">
        <v>282</v>
      </c>
      <c r="B354" s="19" t="s">
        <v>28</v>
      </c>
      <c r="C354" s="19" t="s">
        <v>9</v>
      </c>
      <c r="D354" s="19" t="s">
        <v>152</v>
      </c>
      <c r="E354" s="19"/>
      <c r="F354" s="14"/>
      <c r="G354" s="15">
        <f>G355</f>
        <v>6516.475</v>
      </c>
      <c r="H354" s="15">
        <f>H355</f>
        <v>5700</v>
      </c>
      <c r="I354" s="105">
        <f>I355</f>
        <v>5800</v>
      </c>
      <c r="J354" s="46"/>
      <c r="K354" s="107"/>
    </row>
    <row r="355" spans="1:11" s="3" customFormat="1" ht="31.5">
      <c r="A355" s="40" t="s">
        <v>210</v>
      </c>
      <c r="B355" s="19" t="s">
        <v>28</v>
      </c>
      <c r="C355" s="19" t="s">
        <v>9</v>
      </c>
      <c r="D355" s="19" t="s">
        <v>153</v>
      </c>
      <c r="E355" s="19"/>
      <c r="F355" s="14"/>
      <c r="G355" s="15">
        <f>G356+G357+G360+G362+G363+G359+G361+G358+G364</f>
        <v>6516.475</v>
      </c>
      <c r="H355" s="15">
        <f>H356+H357+H360+H362+H363+H359+H361+H358+H364</f>
        <v>5700</v>
      </c>
      <c r="I355" s="105">
        <f>I356+I357+I360+I362+I363+I359+I361+I358+I364</f>
        <v>5800</v>
      </c>
      <c r="J355" s="46"/>
      <c r="K355" s="107"/>
    </row>
    <row r="356" spans="1:11" s="3" customFormat="1" ht="15.75">
      <c r="A356" s="65" t="s">
        <v>180</v>
      </c>
      <c r="B356" s="19" t="s">
        <v>28</v>
      </c>
      <c r="C356" s="19" t="s">
        <v>9</v>
      </c>
      <c r="D356" s="19" t="s">
        <v>153</v>
      </c>
      <c r="E356" s="19" t="s">
        <v>81</v>
      </c>
      <c r="F356" s="14" t="e">
        <f>#REF!</f>
        <v>#REF!</v>
      </c>
      <c r="G356" s="20">
        <v>3855.6</v>
      </c>
      <c r="H356" s="20">
        <v>3800</v>
      </c>
      <c r="I356" s="106">
        <v>3800</v>
      </c>
      <c r="J356" s="46"/>
      <c r="K356" s="107"/>
    </row>
    <row r="357" spans="1:11" s="3" customFormat="1" ht="47.25">
      <c r="A357" s="65" t="s">
        <v>78</v>
      </c>
      <c r="B357" s="19" t="s">
        <v>28</v>
      </c>
      <c r="C357" s="19" t="s">
        <v>9</v>
      </c>
      <c r="D357" s="19" t="s">
        <v>153</v>
      </c>
      <c r="E357" s="19" t="s">
        <v>62</v>
      </c>
      <c r="F357" s="14" t="e">
        <f>#REF!</f>
        <v>#REF!</v>
      </c>
      <c r="G357" s="20">
        <f>1.7+1.6+1.49</f>
        <v>4.79</v>
      </c>
      <c r="H357" s="20"/>
      <c r="I357" s="106"/>
      <c r="J357" s="46"/>
      <c r="K357" s="107"/>
    </row>
    <row r="358" spans="1:11" s="3" customFormat="1" ht="65.25" customHeight="1">
      <c r="A358" s="65" t="s">
        <v>206</v>
      </c>
      <c r="B358" s="19" t="s">
        <v>28</v>
      </c>
      <c r="C358" s="19" t="s">
        <v>9</v>
      </c>
      <c r="D358" s="19" t="s">
        <v>153</v>
      </c>
      <c r="E358" s="19" t="s">
        <v>205</v>
      </c>
      <c r="F358" s="14"/>
      <c r="G358" s="20">
        <v>19.5</v>
      </c>
      <c r="H358" s="20"/>
      <c r="I358" s="106"/>
      <c r="J358" s="46"/>
      <c r="K358" s="107"/>
    </row>
    <row r="359" spans="1:11" s="3" customFormat="1" ht="63">
      <c r="A359" s="39" t="s">
        <v>181</v>
      </c>
      <c r="B359" s="19" t="s">
        <v>28</v>
      </c>
      <c r="C359" s="19" t="s">
        <v>9</v>
      </c>
      <c r="D359" s="19" t="s">
        <v>153</v>
      </c>
      <c r="E359" s="19" t="s">
        <v>143</v>
      </c>
      <c r="F359" s="14"/>
      <c r="G359" s="20">
        <v>1164.4</v>
      </c>
      <c r="H359" s="20">
        <v>1100</v>
      </c>
      <c r="I359" s="106">
        <v>1100</v>
      </c>
      <c r="J359" s="46"/>
      <c r="K359" s="107"/>
    </row>
    <row r="360" spans="1:11" s="3" customFormat="1" ht="47.25">
      <c r="A360" s="65" t="s">
        <v>71</v>
      </c>
      <c r="B360" s="19" t="s">
        <v>28</v>
      </c>
      <c r="C360" s="19" t="s">
        <v>9</v>
      </c>
      <c r="D360" s="19" t="s">
        <v>153</v>
      </c>
      <c r="E360" s="54" t="s">
        <v>70</v>
      </c>
      <c r="F360" s="14"/>
      <c r="G360" s="20">
        <f>712.7+13.806+300+40.009+10.5+195+2.598+3.3+95+3.248+7.898+5+30+35+15.3</f>
        <v>1469.359</v>
      </c>
      <c r="H360" s="20">
        <v>800</v>
      </c>
      <c r="I360" s="106">
        <v>900</v>
      </c>
      <c r="J360" s="46"/>
      <c r="K360" s="107"/>
    </row>
    <row r="361" spans="1:11" s="3" customFormat="1" ht="47.25">
      <c r="A361" s="76" t="s">
        <v>215</v>
      </c>
      <c r="B361" s="19" t="s">
        <v>28</v>
      </c>
      <c r="C361" s="19" t="s">
        <v>9</v>
      </c>
      <c r="D361" s="19" t="s">
        <v>153</v>
      </c>
      <c r="E361" s="54" t="s">
        <v>83</v>
      </c>
      <c r="F361" s="14"/>
      <c r="G361" s="20"/>
      <c r="H361" s="20"/>
      <c r="I361" s="106"/>
      <c r="J361" s="46"/>
      <c r="K361" s="107"/>
    </row>
    <row r="362" spans="1:11" s="3" customFormat="1" ht="31.5">
      <c r="A362" s="76" t="s">
        <v>72</v>
      </c>
      <c r="B362" s="19" t="s">
        <v>28</v>
      </c>
      <c r="C362" s="19" t="s">
        <v>9</v>
      </c>
      <c r="D362" s="19" t="s">
        <v>153</v>
      </c>
      <c r="E362" s="54" t="s">
        <v>74</v>
      </c>
      <c r="F362" s="14"/>
      <c r="G362" s="15"/>
      <c r="H362" s="15"/>
      <c r="I362" s="105"/>
      <c r="J362" s="46"/>
      <c r="K362" s="107"/>
    </row>
    <row r="363" spans="1:11" s="3" customFormat="1" ht="31.5">
      <c r="A363" s="76" t="s">
        <v>79</v>
      </c>
      <c r="B363" s="19" t="s">
        <v>28</v>
      </c>
      <c r="C363" s="19" t="s">
        <v>9</v>
      </c>
      <c r="D363" s="19" t="s">
        <v>153</v>
      </c>
      <c r="E363" s="19" t="s">
        <v>82</v>
      </c>
      <c r="F363" s="14"/>
      <c r="G363" s="15">
        <f>2.568</f>
        <v>2.568</v>
      </c>
      <c r="H363" s="15"/>
      <c r="I363" s="105"/>
      <c r="J363" s="46"/>
      <c r="K363" s="107"/>
    </row>
    <row r="364" spans="1:11" s="3" customFormat="1" ht="15.75">
      <c r="A364" s="76" t="s">
        <v>203</v>
      </c>
      <c r="B364" s="19" t="s">
        <v>28</v>
      </c>
      <c r="C364" s="19" t="s">
        <v>9</v>
      </c>
      <c r="D364" s="19" t="s">
        <v>153</v>
      </c>
      <c r="E364" s="19" t="s">
        <v>201</v>
      </c>
      <c r="F364" s="14"/>
      <c r="G364" s="15">
        <f>0.006+0.25+0.001+0.001</f>
        <v>0.258</v>
      </c>
      <c r="H364" s="15"/>
      <c r="I364" s="105"/>
      <c r="J364" s="46"/>
      <c r="K364" s="107"/>
    </row>
    <row r="365" spans="1:11" s="3" customFormat="1" ht="31.5">
      <c r="A365" s="65" t="s">
        <v>73</v>
      </c>
      <c r="B365" s="19" t="s">
        <v>28</v>
      </c>
      <c r="C365" s="19" t="s">
        <v>9</v>
      </c>
      <c r="D365" s="19" t="s">
        <v>115</v>
      </c>
      <c r="E365" s="19"/>
      <c r="F365" s="14"/>
      <c r="G365" s="15">
        <f>G366+G368</f>
        <v>35</v>
      </c>
      <c r="H365" s="15">
        <f>H366+H368</f>
        <v>0</v>
      </c>
      <c r="I365" s="105">
        <f>I366+I368</f>
        <v>0</v>
      </c>
      <c r="J365" s="46"/>
      <c r="K365" s="107"/>
    </row>
    <row r="366" spans="1:11" s="3" customFormat="1" ht="78.75">
      <c r="A366" s="76" t="s">
        <v>260</v>
      </c>
      <c r="B366" s="19" t="s">
        <v>28</v>
      </c>
      <c r="C366" s="19" t="s">
        <v>9</v>
      </c>
      <c r="D366" s="19" t="s">
        <v>193</v>
      </c>
      <c r="E366" s="19"/>
      <c r="F366" s="14"/>
      <c r="G366" s="15">
        <f>G367</f>
        <v>35</v>
      </c>
      <c r="H366" s="15">
        <f>H367</f>
        <v>0</v>
      </c>
      <c r="I366" s="105">
        <f>I367</f>
        <v>0</v>
      </c>
      <c r="J366" s="46"/>
      <c r="K366" s="107"/>
    </row>
    <row r="367" spans="1:11" s="3" customFormat="1" ht="31.5">
      <c r="A367" s="67" t="s">
        <v>61</v>
      </c>
      <c r="B367" s="19" t="s">
        <v>28</v>
      </c>
      <c r="C367" s="19" t="s">
        <v>9</v>
      </c>
      <c r="D367" s="19" t="s">
        <v>193</v>
      </c>
      <c r="E367" s="19" t="s">
        <v>60</v>
      </c>
      <c r="F367" s="14"/>
      <c r="G367" s="15">
        <f>35</f>
        <v>35</v>
      </c>
      <c r="H367" s="15"/>
      <c r="I367" s="105"/>
      <c r="J367" s="46"/>
      <c r="K367" s="107"/>
    </row>
    <row r="368" spans="1:11" s="3" customFormat="1" ht="63">
      <c r="A368" s="76" t="s">
        <v>329</v>
      </c>
      <c r="B368" s="19" t="s">
        <v>28</v>
      </c>
      <c r="C368" s="19" t="s">
        <v>9</v>
      </c>
      <c r="D368" s="19" t="s">
        <v>330</v>
      </c>
      <c r="E368" s="55"/>
      <c r="F368" s="14"/>
      <c r="G368" s="15">
        <f>G369</f>
        <v>0</v>
      </c>
      <c r="H368" s="15">
        <f>H369</f>
        <v>0</v>
      </c>
      <c r="I368" s="105">
        <f>I369</f>
        <v>0</v>
      </c>
      <c r="J368" s="46"/>
      <c r="K368" s="107"/>
    </row>
    <row r="369" spans="1:11" s="3" customFormat="1" ht="47.25">
      <c r="A369" s="65" t="s">
        <v>71</v>
      </c>
      <c r="B369" s="19" t="s">
        <v>28</v>
      </c>
      <c r="C369" s="19" t="s">
        <v>9</v>
      </c>
      <c r="D369" s="19" t="s">
        <v>330</v>
      </c>
      <c r="E369" s="55" t="s">
        <v>70</v>
      </c>
      <c r="F369" s="14"/>
      <c r="G369" s="15"/>
      <c r="H369" s="15"/>
      <c r="I369" s="105"/>
      <c r="J369" s="46"/>
      <c r="K369" s="107"/>
    </row>
    <row r="370" spans="1:11" s="56" customFormat="1" ht="47.25">
      <c r="A370" s="87" t="s">
        <v>224</v>
      </c>
      <c r="B370" s="30" t="s">
        <v>28</v>
      </c>
      <c r="C370" s="30" t="s">
        <v>20</v>
      </c>
      <c r="D370" s="30"/>
      <c r="E370" s="30"/>
      <c r="F370" s="28"/>
      <c r="G370" s="29">
        <f>G377+G374+G371+G380</f>
        <v>1</v>
      </c>
      <c r="H370" s="29">
        <f>H377+H374+H371</f>
        <v>0</v>
      </c>
      <c r="I370" s="101">
        <f>I377+I374+I371</f>
        <v>0</v>
      </c>
      <c r="J370" s="108"/>
      <c r="K370" s="107"/>
    </row>
    <row r="371" spans="1:11" s="56" customFormat="1" ht="31.5">
      <c r="A371" s="45" t="s">
        <v>63</v>
      </c>
      <c r="B371" s="10" t="s">
        <v>28</v>
      </c>
      <c r="C371" s="10" t="s">
        <v>20</v>
      </c>
      <c r="D371" s="10" t="s">
        <v>108</v>
      </c>
      <c r="E371" s="23"/>
      <c r="F371" s="25"/>
      <c r="G371" s="26">
        <f aca="true" t="shared" si="17" ref="G371:I372">G372</f>
        <v>0</v>
      </c>
      <c r="H371" s="26">
        <f t="shared" si="17"/>
        <v>0</v>
      </c>
      <c r="I371" s="102">
        <f t="shared" si="17"/>
        <v>0</v>
      </c>
      <c r="J371" s="108"/>
      <c r="K371" s="107"/>
    </row>
    <row r="372" spans="1:11" s="56" customFormat="1" ht="47.25">
      <c r="A372" s="45" t="s">
        <v>66</v>
      </c>
      <c r="B372" s="10" t="s">
        <v>28</v>
      </c>
      <c r="C372" s="10" t="s">
        <v>20</v>
      </c>
      <c r="D372" s="10" t="s">
        <v>109</v>
      </c>
      <c r="E372" s="23"/>
      <c r="F372" s="25"/>
      <c r="G372" s="26">
        <f t="shared" si="17"/>
        <v>0</v>
      </c>
      <c r="H372" s="26">
        <f t="shared" si="17"/>
        <v>0</v>
      </c>
      <c r="I372" s="102">
        <f t="shared" si="17"/>
        <v>0</v>
      </c>
      <c r="J372" s="108"/>
      <c r="K372" s="107"/>
    </row>
    <row r="373" spans="1:11" s="56" customFormat="1" ht="47.25">
      <c r="A373" s="65" t="s">
        <v>71</v>
      </c>
      <c r="B373" s="23" t="s">
        <v>28</v>
      </c>
      <c r="C373" s="23" t="s">
        <v>20</v>
      </c>
      <c r="D373" s="10" t="s">
        <v>109</v>
      </c>
      <c r="E373" s="23" t="s">
        <v>70</v>
      </c>
      <c r="F373" s="25"/>
      <c r="G373" s="26"/>
      <c r="H373" s="26"/>
      <c r="I373" s="102"/>
      <c r="J373" s="108"/>
      <c r="K373" s="107"/>
    </row>
    <row r="374" spans="1:11" s="56" customFormat="1" ht="45.75" customHeight="1">
      <c r="A374" s="75" t="s">
        <v>281</v>
      </c>
      <c r="B374" s="19" t="s">
        <v>28</v>
      </c>
      <c r="C374" s="19" t="s">
        <v>20</v>
      </c>
      <c r="D374" s="23" t="s">
        <v>158</v>
      </c>
      <c r="E374" s="23"/>
      <c r="F374" s="25"/>
      <c r="G374" s="26">
        <f aca="true" t="shared" si="18" ref="G374:I375">G375</f>
        <v>0</v>
      </c>
      <c r="H374" s="26">
        <f t="shared" si="18"/>
        <v>0</v>
      </c>
      <c r="I374" s="102">
        <f t="shared" si="18"/>
        <v>0</v>
      </c>
      <c r="J374" s="108"/>
      <c r="K374" s="107"/>
    </row>
    <row r="375" spans="1:11" s="56" customFormat="1" ht="31.5">
      <c r="A375" s="45" t="s">
        <v>209</v>
      </c>
      <c r="B375" s="19" t="s">
        <v>28</v>
      </c>
      <c r="C375" s="19" t="s">
        <v>20</v>
      </c>
      <c r="D375" s="23" t="s">
        <v>159</v>
      </c>
      <c r="E375" s="23"/>
      <c r="F375" s="25"/>
      <c r="G375" s="26">
        <f t="shared" si="18"/>
        <v>0</v>
      </c>
      <c r="H375" s="26">
        <f t="shared" si="18"/>
        <v>0</v>
      </c>
      <c r="I375" s="102">
        <f t="shared" si="18"/>
        <v>0</v>
      </c>
      <c r="J375" s="108"/>
      <c r="K375" s="107"/>
    </row>
    <row r="376" spans="1:11" s="56" customFormat="1" ht="47.25">
      <c r="A376" s="65" t="s">
        <v>71</v>
      </c>
      <c r="B376" s="19" t="s">
        <v>28</v>
      </c>
      <c r="C376" s="19" t="s">
        <v>20</v>
      </c>
      <c r="D376" s="23" t="s">
        <v>159</v>
      </c>
      <c r="E376" s="23" t="s">
        <v>70</v>
      </c>
      <c r="F376" s="25"/>
      <c r="G376" s="26"/>
      <c r="H376" s="26"/>
      <c r="I376" s="102"/>
      <c r="J376" s="108"/>
      <c r="K376" s="107"/>
    </row>
    <row r="377" spans="1:11" s="3" customFormat="1" ht="63">
      <c r="A377" s="59" t="s">
        <v>212</v>
      </c>
      <c r="B377" s="19" t="s">
        <v>28</v>
      </c>
      <c r="C377" s="19" t="s">
        <v>20</v>
      </c>
      <c r="D377" s="19" t="s">
        <v>149</v>
      </c>
      <c r="E377" s="19"/>
      <c r="F377" s="14"/>
      <c r="G377" s="15">
        <f aca="true" t="shared" si="19" ref="G377:I378">G378</f>
        <v>1</v>
      </c>
      <c r="H377" s="15">
        <f t="shared" si="19"/>
        <v>0</v>
      </c>
      <c r="I377" s="105">
        <f t="shared" si="19"/>
        <v>0</v>
      </c>
      <c r="J377" s="46"/>
      <c r="K377" s="107"/>
    </row>
    <row r="378" spans="1:11" s="3" customFormat="1" ht="31.5">
      <c r="A378" s="40" t="s">
        <v>210</v>
      </c>
      <c r="B378" s="19" t="s">
        <v>28</v>
      </c>
      <c r="C378" s="19" t="s">
        <v>20</v>
      </c>
      <c r="D378" s="19" t="s">
        <v>150</v>
      </c>
      <c r="E378" s="19"/>
      <c r="F378" s="14"/>
      <c r="G378" s="15">
        <f t="shared" si="19"/>
        <v>1</v>
      </c>
      <c r="H378" s="15">
        <f t="shared" si="19"/>
        <v>0</v>
      </c>
      <c r="I378" s="105">
        <f t="shared" si="19"/>
        <v>0</v>
      </c>
      <c r="J378" s="46"/>
      <c r="K378" s="107"/>
    </row>
    <row r="379" spans="1:11" s="3" customFormat="1" ht="47.25">
      <c r="A379" s="65" t="s">
        <v>71</v>
      </c>
      <c r="B379" s="19" t="s">
        <v>28</v>
      </c>
      <c r="C379" s="19" t="s">
        <v>20</v>
      </c>
      <c r="D379" s="19" t="s">
        <v>150</v>
      </c>
      <c r="E379" s="19" t="s">
        <v>70</v>
      </c>
      <c r="F379" s="14"/>
      <c r="G379" s="15">
        <f>1</f>
        <v>1</v>
      </c>
      <c r="H379" s="15"/>
      <c r="I379" s="105"/>
      <c r="J379" s="46"/>
      <c r="K379" s="107"/>
    </row>
    <row r="380" spans="1:11" s="3" customFormat="1" ht="31.5">
      <c r="A380" s="65" t="s">
        <v>210</v>
      </c>
      <c r="B380" s="19" t="s">
        <v>28</v>
      </c>
      <c r="C380" s="19" t="s">
        <v>20</v>
      </c>
      <c r="D380" s="19" t="s">
        <v>153</v>
      </c>
      <c r="E380" s="19"/>
      <c r="F380" s="14"/>
      <c r="G380" s="15">
        <f>G381+G382</f>
        <v>0</v>
      </c>
      <c r="H380" s="15"/>
      <c r="I380" s="105"/>
      <c r="J380" s="46"/>
      <c r="K380" s="107"/>
    </row>
    <row r="381" spans="1:11" s="3" customFormat="1" ht="47.25">
      <c r="A381" s="65" t="s">
        <v>71</v>
      </c>
      <c r="B381" s="19" t="s">
        <v>28</v>
      </c>
      <c r="C381" s="19" t="s">
        <v>20</v>
      </c>
      <c r="D381" s="19" t="s">
        <v>153</v>
      </c>
      <c r="E381" s="19" t="s">
        <v>70</v>
      </c>
      <c r="F381" s="14"/>
      <c r="G381" s="15"/>
      <c r="H381" s="15"/>
      <c r="I381" s="105"/>
      <c r="J381" s="46"/>
      <c r="K381" s="107"/>
    </row>
    <row r="382" spans="1:11" s="3" customFormat="1" ht="15.75">
      <c r="A382" s="76" t="s">
        <v>203</v>
      </c>
      <c r="B382" s="19" t="s">
        <v>28</v>
      </c>
      <c r="C382" s="19" t="s">
        <v>20</v>
      </c>
      <c r="D382" s="19" t="s">
        <v>153</v>
      </c>
      <c r="E382" s="19" t="s">
        <v>201</v>
      </c>
      <c r="F382" s="14"/>
      <c r="G382" s="15">
        <f>0.001-0.001</f>
        <v>0</v>
      </c>
      <c r="H382" s="15"/>
      <c r="I382" s="105"/>
      <c r="J382" s="46"/>
      <c r="K382" s="107"/>
    </row>
    <row r="383" spans="1:11" s="53" customFormat="1" ht="29.25" customHeight="1">
      <c r="A383" s="34" t="s">
        <v>32</v>
      </c>
      <c r="B383" s="9" t="s">
        <v>28</v>
      </c>
      <c r="C383" s="9" t="s">
        <v>28</v>
      </c>
      <c r="D383" s="9"/>
      <c r="E383" s="9"/>
      <c r="F383" s="11" t="e">
        <f>#REF!+#REF!</f>
        <v>#REF!</v>
      </c>
      <c r="G383" s="12">
        <f>G384</f>
        <v>0</v>
      </c>
      <c r="H383" s="12">
        <f>H384</f>
        <v>937.6</v>
      </c>
      <c r="I383" s="100">
        <f>I384</f>
        <v>987.6</v>
      </c>
      <c r="J383" s="109"/>
      <c r="K383" s="107"/>
    </row>
    <row r="384" spans="1:11" s="53" customFormat="1" ht="78.75">
      <c r="A384" s="71" t="s">
        <v>280</v>
      </c>
      <c r="B384" s="23" t="s">
        <v>28</v>
      </c>
      <c r="C384" s="24" t="s">
        <v>28</v>
      </c>
      <c r="D384" s="24" t="s">
        <v>156</v>
      </c>
      <c r="E384" s="24"/>
      <c r="F384" s="11"/>
      <c r="G384" s="26">
        <f>G385+G387+G389</f>
        <v>0</v>
      </c>
      <c r="H384" s="26">
        <f>H385+H387+H389</f>
        <v>937.6</v>
      </c>
      <c r="I384" s="102">
        <f>I385+I387+I389</f>
        <v>987.6</v>
      </c>
      <c r="J384" s="109"/>
      <c r="K384" s="107"/>
    </row>
    <row r="385" spans="1:11" s="53" customFormat="1" ht="98.25" customHeight="1">
      <c r="A385" s="78" t="s">
        <v>103</v>
      </c>
      <c r="B385" s="23" t="s">
        <v>28</v>
      </c>
      <c r="C385" s="24" t="s">
        <v>28</v>
      </c>
      <c r="D385" s="24" t="s">
        <v>157</v>
      </c>
      <c r="E385" s="24"/>
      <c r="F385" s="11"/>
      <c r="G385" s="26">
        <f>G386</f>
        <v>0</v>
      </c>
      <c r="H385" s="26">
        <f>H386</f>
        <v>0</v>
      </c>
      <c r="I385" s="102">
        <f>I386</f>
        <v>50</v>
      </c>
      <c r="J385" s="109"/>
      <c r="K385" s="107"/>
    </row>
    <row r="386" spans="1:11" s="53" customFormat="1" ht="47.25">
      <c r="A386" s="65" t="s">
        <v>71</v>
      </c>
      <c r="B386" s="23" t="s">
        <v>28</v>
      </c>
      <c r="C386" s="24" t="s">
        <v>28</v>
      </c>
      <c r="D386" s="24" t="s">
        <v>157</v>
      </c>
      <c r="E386" s="24" t="s">
        <v>70</v>
      </c>
      <c r="F386" s="11"/>
      <c r="G386" s="26">
        <f>50-50</f>
        <v>0</v>
      </c>
      <c r="H386" s="26">
        <f>50-50</f>
        <v>0</v>
      </c>
      <c r="I386" s="102">
        <v>50</v>
      </c>
      <c r="J386" s="109"/>
      <c r="K386" s="107"/>
    </row>
    <row r="387" spans="1:11" s="53" customFormat="1" ht="63" hidden="1">
      <c r="A387" s="32" t="s">
        <v>177</v>
      </c>
      <c r="B387" s="23" t="s">
        <v>28</v>
      </c>
      <c r="C387" s="24" t="s">
        <v>28</v>
      </c>
      <c r="D387" s="24" t="s">
        <v>178</v>
      </c>
      <c r="E387" s="24"/>
      <c r="F387" s="11"/>
      <c r="G387" s="26">
        <f>G388</f>
        <v>0</v>
      </c>
      <c r="H387" s="26">
        <f>H388</f>
        <v>0</v>
      </c>
      <c r="I387" s="102">
        <f>I388</f>
        <v>0</v>
      </c>
      <c r="J387" s="109"/>
      <c r="K387" s="107"/>
    </row>
    <row r="388" spans="1:11" s="53" customFormat="1" ht="47.25" hidden="1">
      <c r="A388" s="32" t="s">
        <v>71</v>
      </c>
      <c r="B388" s="23" t="s">
        <v>28</v>
      </c>
      <c r="C388" s="24" t="s">
        <v>28</v>
      </c>
      <c r="D388" s="24" t="s">
        <v>178</v>
      </c>
      <c r="E388" s="24" t="s">
        <v>70</v>
      </c>
      <c r="F388" s="11"/>
      <c r="G388" s="26"/>
      <c r="H388" s="26"/>
      <c r="I388" s="102"/>
      <c r="J388" s="109"/>
      <c r="K388" s="107"/>
    </row>
    <row r="389" spans="1:11" s="53" customFormat="1" ht="68.25" customHeight="1">
      <c r="A389" s="45" t="s">
        <v>268</v>
      </c>
      <c r="B389" s="23" t="s">
        <v>28</v>
      </c>
      <c r="C389" s="23" t="s">
        <v>28</v>
      </c>
      <c r="D389" s="23" t="s">
        <v>300</v>
      </c>
      <c r="E389" s="23"/>
      <c r="F389" s="11"/>
      <c r="G389" s="26">
        <f>G390</f>
        <v>0</v>
      </c>
      <c r="H389" s="26">
        <f>H390</f>
        <v>937.6</v>
      </c>
      <c r="I389" s="102">
        <f>I390</f>
        <v>937.6</v>
      </c>
      <c r="J389" s="109"/>
      <c r="K389" s="107"/>
    </row>
    <row r="390" spans="1:11" s="53" customFormat="1" ht="47.25">
      <c r="A390" s="32" t="s">
        <v>71</v>
      </c>
      <c r="B390" s="23" t="s">
        <v>28</v>
      </c>
      <c r="C390" s="23" t="s">
        <v>28</v>
      </c>
      <c r="D390" s="23" t="s">
        <v>300</v>
      </c>
      <c r="E390" s="23" t="s">
        <v>70</v>
      </c>
      <c r="F390" s="11"/>
      <c r="G390" s="26">
        <f>937.6-937.6</f>
        <v>0</v>
      </c>
      <c r="H390" s="26">
        <v>937.6</v>
      </c>
      <c r="I390" s="102">
        <v>937.6</v>
      </c>
      <c r="J390" s="109"/>
      <c r="K390" s="107"/>
    </row>
    <row r="391" spans="1:11" s="53" customFormat="1" ht="15.75">
      <c r="A391" s="34" t="s">
        <v>53</v>
      </c>
      <c r="B391" s="9" t="s">
        <v>33</v>
      </c>
      <c r="C391" s="9"/>
      <c r="D391" s="9"/>
      <c r="E391" s="9"/>
      <c r="F391" s="11" t="e">
        <f>F392+#REF!+#REF!</f>
        <v>#REF!</v>
      </c>
      <c r="G391" s="12">
        <f>G392</f>
        <v>28144.73</v>
      </c>
      <c r="H391" s="12">
        <f>H392</f>
        <v>7060</v>
      </c>
      <c r="I391" s="100">
        <f>I392</f>
        <v>7196</v>
      </c>
      <c r="J391" s="109"/>
      <c r="K391" s="107"/>
    </row>
    <row r="392" spans="1:11" s="53" customFormat="1" ht="15.75">
      <c r="A392" s="34" t="s">
        <v>34</v>
      </c>
      <c r="B392" s="9" t="s">
        <v>33</v>
      </c>
      <c r="C392" s="9" t="s">
        <v>6</v>
      </c>
      <c r="D392" s="9"/>
      <c r="E392" s="9"/>
      <c r="F392" s="11" t="e">
        <f>#REF!+F421+#REF!+#REF!</f>
        <v>#REF!</v>
      </c>
      <c r="G392" s="12">
        <f>G410+G419+G423+G432+G393</f>
        <v>28144.73</v>
      </c>
      <c r="H392" s="12">
        <f>H410+H419+H423+H432+H393</f>
        <v>7060</v>
      </c>
      <c r="I392" s="100">
        <f>I410+I419+I423+I432+I393</f>
        <v>7196</v>
      </c>
      <c r="J392" s="109">
        <v>7922.7</v>
      </c>
      <c r="K392" s="107"/>
    </row>
    <row r="393" spans="1:11" s="53" customFormat="1" ht="66" customHeight="1">
      <c r="A393" s="74" t="s">
        <v>279</v>
      </c>
      <c r="B393" s="23" t="s">
        <v>33</v>
      </c>
      <c r="C393" s="23" t="s">
        <v>6</v>
      </c>
      <c r="D393" s="23" t="s">
        <v>221</v>
      </c>
      <c r="E393" s="23"/>
      <c r="F393" s="25"/>
      <c r="G393" s="26">
        <f>G394+G406</f>
        <v>20234.03</v>
      </c>
      <c r="H393" s="26">
        <f>H394+H406</f>
        <v>120</v>
      </c>
      <c r="I393" s="102">
        <f>I394+I406</f>
        <v>136</v>
      </c>
      <c r="J393" s="115"/>
      <c r="K393" s="107"/>
    </row>
    <row r="394" spans="1:11" s="57" customFormat="1" ht="78.75">
      <c r="A394" s="85" t="s">
        <v>220</v>
      </c>
      <c r="B394" s="23" t="s">
        <v>33</v>
      </c>
      <c r="C394" s="23" t="s">
        <v>6</v>
      </c>
      <c r="D394" s="23" t="s">
        <v>222</v>
      </c>
      <c r="E394" s="23"/>
      <c r="F394" s="25"/>
      <c r="G394" s="26">
        <f>G395+G403+G400</f>
        <v>20229.03</v>
      </c>
      <c r="H394" s="26">
        <f>H395+H403+H400</f>
        <v>100</v>
      </c>
      <c r="I394" s="26">
        <f>I395+I403+I400</f>
        <v>115</v>
      </c>
      <c r="J394" s="110"/>
      <c r="K394" s="107"/>
    </row>
    <row r="395" spans="1:11" s="57" customFormat="1" ht="47.25">
      <c r="A395" s="86" t="s">
        <v>312</v>
      </c>
      <c r="B395" s="23" t="s">
        <v>33</v>
      </c>
      <c r="C395" s="23" t="s">
        <v>6</v>
      </c>
      <c r="D395" s="23" t="s">
        <v>223</v>
      </c>
      <c r="E395" s="23"/>
      <c r="F395" s="25"/>
      <c r="G395" s="26">
        <f>G398+G396</f>
        <v>226.43</v>
      </c>
      <c r="H395" s="26">
        <f>H398+H396</f>
        <v>100</v>
      </c>
      <c r="I395" s="102">
        <f>I398+I396</f>
        <v>115</v>
      </c>
      <c r="J395" s="110"/>
      <c r="K395" s="107"/>
    </row>
    <row r="396" spans="1:11" s="57" customFormat="1" ht="47.25">
      <c r="A396" s="86" t="s">
        <v>331</v>
      </c>
      <c r="B396" s="23" t="s">
        <v>33</v>
      </c>
      <c r="C396" s="23" t="s">
        <v>6</v>
      </c>
      <c r="D396" s="23" t="s">
        <v>332</v>
      </c>
      <c r="E396" s="23"/>
      <c r="F396" s="25"/>
      <c r="G396" s="26">
        <f>G397</f>
        <v>24.4</v>
      </c>
      <c r="H396" s="26">
        <f>H397</f>
        <v>20</v>
      </c>
      <c r="I396" s="102">
        <f>I397</f>
        <v>25</v>
      </c>
      <c r="J396" s="110"/>
      <c r="K396" s="107"/>
    </row>
    <row r="397" spans="1:11" s="57" customFormat="1" ht="47.25">
      <c r="A397" s="45" t="s">
        <v>71</v>
      </c>
      <c r="B397" s="23" t="s">
        <v>33</v>
      </c>
      <c r="C397" s="23" t="s">
        <v>6</v>
      </c>
      <c r="D397" s="23" t="s">
        <v>332</v>
      </c>
      <c r="E397" s="23" t="s">
        <v>70</v>
      </c>
      <c r="F397" s="25"/>
      <c r="G397" s="26">
        <f>25-0.6</f>
        <v>24.4</v>
      </c>
      <c r="H397" s="26">
        <v>20</v>
      </c>
      <c r="I397" s="102">
        <v>25</v>
      </c>
      <c r="J397" s="110"/>
      <c r="K397" s="107"/>
    </row>
    <row r="398" spans="1:11" s="57" customFormat="1" ht="47.25">
      <c r="A398" s="86" t="s">
        <v>313</v>
      </c>
      <c r="B398" s="23" t="s">
        <v>33</v>
      </c>
      <c r="C398" s="23" t="s">
        <v>6</v>
      </c>
      <c r="D398" s="23" t="s">
        <v>311</v>
      </c>
      <c r="E398" s="23"/>
      <c r="F398" s="25"/>
      <c r="G398" s="26">
        <f>G399</f>
        <v>202.03</v>
      </c>
      <c r="H398" s="26">
        <f>H399</f>
        <v>80</v>
      </c>
      <c r="I398" s="102">
        <f>I399</f>
        <v>90</v>
      </c>
      <c r="J398" s="110"/>
      <c r="K398" s="107"/>
    </row>
    <row r="399" spans="1:11" s="57" customFormat="1" ht="31.5">
      <c r="A399" s="95" t="s">
        <v>61</v>
      </c>
      <c r="B399" s="23" t="s">
        <v>33</v>
      </c>
      <c r="C399" s="23" t="s">
        <v>6</v>
      </c>
      <c r="D399" s="23" t="s">
        <v>311</v>
      </c>
      <c r="E399" s="23" t="s">
        <v>60</v>
      </c>
      <c r="F399" s="25"/>
      <c r="G399" s="26">
        <f>100+102.03</f>
        <v>202.03</v>
      </c>
      <c r="H399" s="26">
        <v>80</v>
      </c>
      <c r="I399" s="102">
        <v>90</v>
      </c>
      <c r="J399" s="110"/>
      <c r="K399" s="107"/>
    </row>
    <row r="400" spans="1:11" s="57" customFormat="1" ht="47.25">
      <c r="A400" s="95" t="s">
        <v>312</v>
      </c>
      <c r="B400" s="23" t="s">
        <v>33</v>
      </c>
      <c r="C400" s="23" t="s">
        <v>6</v>
      </c>
      <c r="D400" s="23" t="s">
        <v>373</v>
      </c>
      <c r="E400" s="23"/>
      <c r="F400" s="25"/>
      <c r="G400" s="26">
        <f aca="true" t="shared" si="20" ref="G400:I401">G401</f>
        <v>2.6</v>
      </c>
      <c r="H400" s="26">
        <f t="shared" si="20"/>
        <v>0</v>
      </c>
      <c r="I400" s="26">
        <f t="shared" si="20"/>
        <v>0</v>
      </c>
      <c r="J400" s="110"/>
      <c r="K400" s="107"/>
    </row>
    <row r="401" spans="1:11" s="57" customFormat="1" ht="47.25">
      <c r="A401" s="95" t="s">
        <v>331</v>
      </c>
      <c r="B401" s="23" t="s">
        <v>33</v>
      </c>
      <c r="C401" s="23" t="s">
        <v>6</v>
      </c>
      <c r="D401" s="23" t="s">
        <v>372</v>
      </c>
      <c r="E401" s="23"/>
      <c r="F401" s="25"/>
      <c r="G401" s="26">
        <f t="shared" si="20"/>
        <v>2.6</v>
      </c>
      <c r="H401" s="26">
        <f t="shared" si="20"/>
        <v>0</v>
      </c>
      <c r="I401" s="26">
        <f t="shared" si="20"/>
        <v>0</v>
      </c>
      <c r="J401" s="110"/>
      <c r="K401" s="107"/>
    </row>
    <row r="402" spans="1:11" s="57" customFormat="1" ht="47.25">
      <c r="A402" s="45" t="s">
        <v>71</v>
      </c>
      <c r="B402" s="23" t="s">
        <v>33</v>
      </c>
      <c r="C402" s="23" t="s">
        <v>6</v>
      </c>
      <c r="D402" s="23" t="s">
        <v>372</v>
      </c>
      <c r="E402" s="23" t="s">
        <v>70</v>
      </c>
      <c r="F402" s="25"/>
      <c r="G402" s="26">
        <v>2.6</v>
      </c>
      <c r="H402" s="26"/>
      <c r="I402" s="102"/>
      <c r="J402" s="110"/>
      <c r="K402" s="107"/>
    </row>
    <row r="403" spans="1:11" s="57" customFormat="1" ht="47.25">
      <c r="A403" s="121" t="s">
        <v>358</v>
      </c>
      <c r="B403" s="23" t="s">
        <v>33</v>
      </c>
      <c r="C403" s="23" t="s">
        <v>6</v>
      </c>
      <c r="D403" s="23" t="s">
        <v>356</v>
      </c>
      <c r="E403" s="23"/>
      <c r="F403" s="25"/>
      <c r="G403" s="26">
        <f>G404</f>
        <v>20000</v>
      </c>
      <c r="H403" s="26"/>
      <c r="I403" s="102"/>
      <c r="J403" s="110"/>
      <c r="K403" s="107"/>
    </row>
    <row r="404" spans="1:11" s="57" customFormat="1" ht="31.5">
      <c r="A404" s="121" t="s">
        <v>359</v>
      </c>
      <c r="B404" s="23" t="s">
        <v>33</v>
      </c>
      <c r="C404" s="23" t="s">
        <v>6</v>
      </c>
      <c r="D404" s="23" t="s">
        <v>355</v>
      </c>
      <c r="E404" s="23"/>
      <c r="F404" s="25"/>
      <c r="G404" s="26">
        <f>G405</f>
        <v>20000</v>
      </c>
      <c r="H404" s="26"/>
      <c r="I404" s="102"/>
      <c r="J404" s="110"/>
      <c r="K404" s="107"/>
    </row>
    <row r="405" spans="1:11" s="57" customFormat="1" ht="31.5">
      <c r="A405" s="121" t="s">
        <v>61</v>
      </c>
      <c r="B405" s="23" t="s">
        <v>33</v>
      </c>
      <c r="C405" s="23" t="s">
        <v>6</v>
      </c>
      <c r="D405" s="23" t="s">
        <v>355</v>
      </c>
      <c r="E405" s="23" t="s">
        <v>60</v>
      </c>
      <c r="F405" s="25"/>
      <c r="G405" s="26">
        <v>20000</v>
      </c>
      <c r="H405" s="26"/>
      <c r="I405" s="102"/>
      <c r="J405" s="110"/>
      <c r="K405" s="107"/>
    </row>
    <row r="406" spans="1:11" s="57" customFormat="1" ht="31.5">
      <c r="A406" s="95" t="s">
        <v>317</v>
      </c>
      <c r="B406" s="23" t="s">
        <v>33</v>
      </c>
      <c r="C406" s="23" t="s">
        <v>6</v>
      </c>
      <c r="D406" s="23" t="s">
        <v>314</v>
      </c>
      <c r="E406" s="23"/>
      <c r="F406" s="25"/>
      <c r="G406" s="26">
        <f aca="true" t="shared" si="21" ref="G406:I408">G407</f>
        <v>5</v>
      </c>
      <c r="H406" s="26">
        <f t="shared" si="21"/>
        <v>20</v>
      </c>
      <c r="I406" s="102">
        <f t="shared" si="21"/>
        <v>21</v>
      </c>
      <c r="J406" s="110"/>
      <c r="K406" s="107"/>
    </row>
    <row r="407" spans="1:11" s="57" customFormat="1" ht="15.75">
      <c r="A407" s="95" t="s">
        <v>318</v>
      </c>
      <c r="B407" s="23" t="s">
        <v>33</v>
      </c>
      <c r="C407" s="23" t="s">
        <v>6</v>
      </c>
      <c r="D407" s="23" t="s">
        <v>315</v>
      </c>
      <c r="E407" s="23"/>
      <c r="F407" s="25"/>
      <c r="G407" s="26">
        <f t="shared" si="21"/>
        <v>5</v>
      </c>
      <c r="H407" s="26">
        <f t="shared" si="21"/>
        <v>20</v>
      </c>
      <c r="I407" s="102">
        <f t="shared" si="21"/>
        <v>21</v>
      </c>
      <c r="J407" s="110"/>
      <c r="K407" s="107"/>
    </row>
    <row r="408" spans="1:11" s="57" customFormat="1" ht="47.25">
      <c r="A408" s="95" t="s">
        <v>319</v>
      </c>
      <c r="B408" s="23" t="s">
        <v>33</v>
      </c>
      <c r="C408" s="23" t="s">
        <v>6</v>
      </c>
      <c r="D408" s="23" t="s">
        <v>316</v>
      </c>
      <c r="E408" s="23"/>
      <c r="F408" s="25"/>
      <c r="G408" s="26">
        <f t="shared" si="21"/>
        <v>5</v>
      </c>
      <c r="H408" s="26">
        <f t="shared" si="21"/>
        <v>20</v>
      </c>
      <c r="I408" s="102">
        <f t="shared" si="21"/>
        <v>21</v>
      </c>
      <c r="J408" s="110"/>
      <c r="K408" s="107"/>
    </row>
    <row r="409" spans="1:11" s="57" customFormat="1" ht="47.25">
      <c r="A409" s="45" t="s">
        <v>71</v>
      </c>
      <c r="B409" s="23" t="s">
        <v>33</v>
      </c>
      <c r="C409" s="23" t="s">
        <v>6</v>
      </c>
      <c r="D409" s="23" t="s">
        <v>316</v>
      </c>
      <c r="E409" s="23" t="s">
        <v>70</v>
      </c>
      <c r="F409" s="25"/>
      <c r="G409" s="26">
        <f>25-20-8.652+8.652</f>
        <v>5</v>
      </c>
      <c r="H409" s="26">
        <v>20</v>
      </c>
      <c r="I409" s="102">
        <v>21</v>
      </c>
      <c r="J409" s="110"/>
      <c r="K409" s="107"/>
    </row>
    <row r="410" spans="1:11" s="3" customFormat="1" ht="83.25" customHeight="1">
      <c r="A410" s="82" t="s">
        <v>326</v>
      </c>
      <c r="B410" s="19" t="s">
        <v>33</v>
      </c>
      <c r="C410" s="19" t="s">
        <v>6</v>
      </c>
      <c r="D410" s="19" t="s">
        <v>160</v>
      </c>
      <c r="E410" s="19"/>
      <c r="F410" s="14"/>
      <c r="G410" s="15">
        <f>G411</f>
        <v>1100.7</v>
      </c>
      <c r="H410" s="15">
        <f>H411</f>
        <v>600</v>
      </c>
      <c r="I410" s="105">
        <f>I411</f>
        <v>620</v>
      </c>
      <c r="J410" s="46"/>
      <c r="K410" s="107"/>
    </row>
    <row r="411" spans="1:11" s="3" customFormat="1" ht="31.5">
      <c r="A411" s="45" t="s">
        <v>211</v>
      </c>
      <c r="B411" s="19" t="s">
        <v>33</v>
      </c>
      <c r="C411" s="19" t="s">
        <v>6</v>
      </c>
      <c r="D411" s="19" t="s">
        <v>161</v>
      </c>
      <c r="E411" s="19"/>
      <c r="F411" s="14"/>
      <c r="G411" s="15">
        <f>G412+G413+G415+G417+G414+G416+G418</f>
        <v>1100.7</v>
      </c>
      <c r="H411" s="15">
        <f>H412+H413+H415+H417+H414+H416+H418</f>
        <v>600</v>
      </c>
      <c r="I411" s="105">
        <f>I412+I413+I415+I417+I414+I416+I418</f>
        <v>620</v>
      </c>
      <c r="J411" s="46"/>
      <c r="K411" s="107"/>
    </row>
    <row r="412" spans="1:11" s="3" customFormat="1" ht="15.75">
      <c r="A412" s="32" t="s">
        <v>180</v>
      </c>
      <c r="B412" s="19" t="s">
        <v>33</v>
      </c>
      <c r="C412" s="19" t="s">
        <v>6</v>
      </c>
      <c r="D412" s="19" t="s">
        <v>161</v>
      </c>
      <c r="E412" s="19" t="s">
        <v>81</v>
      </c>
      <c r="F412" s="14">
        <f>F413</f>
        <v>6848</v>
      </c>
      <c r="G412" s="15">
        <f>400.5-0.966-15-18.5</f>
        <v>366.034</v>
      </c>
      <c r="H412" s="15">
        <v>400</v>
      </c>
      <c r="I412" s="105">
        <v>400</v>
      </c>
      <c r="J412" s="46"/>
      <c r="K412" s="107"/>
    </row>
    <row r="413" spans="1:11" s="3" customFormat="1" ht="47.25" hidden="1">
      <c r="A413" s="32" t="s">
        <v>78</v>
      </c>
      <c r="B413" s="19" t="s">
        <v>33</v>
      </c>
      <c r="C413" s="19" t="s">
        <v>6</v>
      </c>
      <c r="D413" s="19" t="s">
        <v>161</v>
      </c>
      <c r="E413" s="19" t="s">
        <v>62</v>
      </c>
      <c r="F413" s="14">
        <f>6746+102</f>
        <v>6848</v>
      </c>
      <c r="G413" s="15"/>
      <c r="H413" s="15"/>
      <c r="I413" s="105"/>
      <c r="J413" s="46"/>
      <c r="K413" s="107"/>
    </row>
    <row r="414" spans="1:11" s="3" customFormat="1" ht="63">
      <c r="A414" s="39" t="s">
        <v>181</v>
      </c>
      <c r="B414" s="19" t="s">
        <v>33</v>
      </c>
      <c r="C414" s="19" t="s">
        <v>6</v>
      </c>
      <c r="D414" s="19" t="s">
        <v>161</v>
      </c>
      <c r="E414" s="19" t="s">
        <v>143</v>
      </c>
      <c r="F414" s="14"/>
      <c r="G414" s="15">
        <f>121-0.001</f>
        <v>120.999</v>
      </c>
      <c r="H414" s="15">
        <v>120</v>
      </c>
      <c r="I414" s="105">
        <v>120</v>
      </c>
      <c r="J414" s="46"/>
      <c r="K414" s="107"/>
    </row>
    <row r="415" spans="1:11" s="3" customFormat="1" ht="47.25">
      <c r="A415" s="32" t="s">
        <v>71</v>
      </c>
      <c r="B415" s="19" t="s">
        <v>33</v>
      </c>
      <c r="C415" s="19" t="s">
        <v>6</v>
      </c>
      <c r="D415" s="19" t="s">
        <v>161</v>
      </c>
      <c r="E415" s="54" t="s">
        <v>70</v>
      </c>
      <c r="F415" s="14">
        <f>F417</f>
        <v>6848</v>
      </c>
      <c r="G415" s="15">
        <f>74.2+400+120+0.966-15+30+3.5</f>
        <v>613.666</v>
      </c>
      <c r="H415" s="15">
        <v>80</v>
      </c>
      <c r="I415" s="105">
        <v>100</v>
      </c>
      <c r="J415" s="46"/>
      <c r="K415" s="107"/>
    </row>
    <row r="416" spans="1:11" s="3" customFormat="1" ht="31.5" hidden="1">
      <c r="A416" s="38" t="s">
        <v>72</v>
      </c>
      <c r="B416" s="19" t="s">
        <v>33</v>
      </c>
      <c r="C416" s="19" t="s">
        <v>6</v>
      </c>
      <c r="D416" s="19" t="s">
        <v>161</v>
      </c>
      <c r="E416" s="54" t="s">
        <v>74</v>
      </c>
      <c r="F416" s="14"/>
      <c r="G416" s="15"/>
      <c r="H416" s="15"/>
      <c r="I416" s="105"/>
      <c r="J416" s="46"/>
      <c r="K416" s="107"/>
    </row>
    <row r="417" spans="1:11" s="3" customFormat="1" ht="31.5" hidden="1">
      <c r="A417" s="38" t="s">
        <v>79</v>
      </c>
      <c r="B417" s="19" t="s">
        <v>33</v>
      </c>
      <c r="C417" s="19" t="s">
        <v>6</v>
      </c>
      <c r="D417" s="19" t="s">
        <v>161</v>
      </c>
      <c r="E417" s="54" t="s">
        <v>82</v>
      </c>
      <c r="F417" s="14">
        <f>6746+102</f>
        <v>6848</v>
      </c>
      <c r="G417" s="15"/>
      <c r="H417" s="15"/>
      <c r="I417" s="105"/>
      <c r="J417" s="46"/>
      <c r="K417" s="107"/>
    </row>
    <row r="418" spans="1:11" s="3" customFormat="1" ht="15.75">
      <c r="A418" s="76" t="s">
        <v>203</v>
      </c>
      <c r="B418" s="19" t="s">
        <v>33</v>
      </c>
      <c r="C418" s="19" t="s">
        <v>6</v>
      </c>
      <c r="D418" s="19" t="s">
        <v>161</v>
      </c>
      <c r="E418" s="54" t="s">
        <v>201</v>
      </c>
      <c r="F418" s="14"/>
      <c r="G418" s="15">
        <v>0.001</v>
      </c>
      <c r="H418" s="15"/>
      <c r="I418" s="105"/>
      <c r="J418" s="46"/>
      <c r="K418" s="107"/>
    </row>
    <row r="419" spans="1:11" s="3" customFormat="1" ht="126">
      <c r="A419" s="77" t="s">
        <v>278</v>
      </c>
      <c r="B419" s="19" t="s">
        <v>33</v>
      </c>
      <c r="C419" s="19" t="s">
        <v>6</v>
      </c>
      <c r="D419" s="19" t="s">
        <v>162</v>
      </c>
      <c r="E419" s="19"/>
      <c r="F419" s="14"/>
      <c r="G419" s="15">
        <f>G420</f>
        <v>3779.1</v>
      </c>
      <c r="H419" s="15">
        <f>H420</f>
        <v>4600</v>
      </c>
      <c r="I419" s="105">
        <f>I420</f>
        <v>4700</v>
      </c>
      <c r="J419" s="46"/>
      <c r="K419" s="107"/>
    </row>
    <row r="420" spans="1:11" s="3" customFormat="1" ht="31.5">
      <c r="A420" s="50" t="s">
        <v>104</v>
      </c>
      <c r="B420" s="19" t="s">
        <v>33</v>
      </c>
      <c r="C420" s="19" t="s">
        <v>6</v>
      </c>
      <c r="D420" s="19" t="s">
        <v>163</v>
      </c>
      <c r="E420" s="19"/>
      <c r="F420" s="14"/>
      <c r="G420" s="15">
        <f>G421+G422</f>
        <v>3779.1</v>
      </c>
      <c r="H420" s="15">
        <f>H421+H422</f>
        <v>4600</v>
      </c>
      <c r="I420" s="105">
        <f>I421+I422</f>
        <v>4700</v>
      </c>
      <c r="J420" s="46"/>
      <c r="K420" s="107"/>
    </row>
    <row r="421" spans="1:11" s="3" customFormat="1" ht="81" customHeight="1">
      <c r="A421" s="61" t="s">
        <v>80</v>
      </c>
      <c r="B421" s="19" t="s">
        <v>33</v>
      </c>
      <c r="C421" s="19" t="s">
        <v>6</v>
      </c>
      <c r="D421" s="19" t="s">
        <v>163</v>
      </c>
      <c r="E421" s="19" t="s">
        <v>59</v>
      </c>
      <c r="F421" s="14">
        <f>F423</f>
        <v>280</v>
      </c>
      <c r="G421" s="15">
        <v>3779.1</v>
      </c>
      <c r="H421" s="15">
        <v>4600</v>
      </c>
      <c r="I421" s="105">
        <v>4700</v>
      </c>
      <c r="J421" s="46"/>
      <c r="K421" s="107"/>
    </row>
    <row r="422" spans="1:11" s="3" customFormat="1" ht="31.5" hidden="1">
      <c r="A422" s="61" t="s">
        <v>61</v>
      </c>
      <c r="B422" s="19" t="s">
        <v>33</v>
      </c>
      <c r="C422" s="19" t="s">
        <v>6</v>
      </c>
      <c r="D422" s="19" t="s">
        <v>163</v>
      </c>
      <c r="E422" s="19" t="s">
        <v>60</v>
      </c>
      <c r="F422" s="14">
        <f>F423</f>
        <v>280</v>
      </c>
      <c r="G422" s="15">
        <f>155-155</f>
        <v>0</v>
      </c>
      <c r="H422" s="15"/>
      <c r="I422" s="105"/>
      <c r="J422" s="46"/>
      <c r="K422" s="107"/>
    </row>
    <row r="423" spans="1:11" s="3" customFormat="1" ht="63">
      <c r="A423" s="77" t="s">
        <v>277</v>
      </c>
      <c r="B423" s="19" t="s">
        <v>33</v>
      </c>
      <c r="C423" s="19" t="s">
        <v>6</v>
      </c>
      <c r="D423" s="19" t="s">
        <v>164</v>
      </c>
      <c r="E423" s="19"/>
      <c r="F423" s="14">
        <v>280</v>
      </c>
      <c r="G423" s="15">
        <f>G424</f>
        <v>1730.8999999999999</v>
      </c>
      <c r="H423" s="15">
        <f>H424</f>
        <v>1740</v>
      </c>
      <c r="I423" s="105">
        <f>I424</f>
        <v>1740</v>
      </c>
      <c r="J423" s="46"/>
      <c r="K423" s="107"/>
    </row>
    <row r="424" spans="1:11" s="3" customFormat="1" ht="31.5">
      <c r="A424" s="50" t="s">
        <v>211</v>
      </c>
      <c r="B424" s="19" t="s">
        <v>33</v>
      </c>
      <c r="C424" s="19" t="s">
        <v>6</v>
      </c>
      <c r="D424" s="19" t="s">
        <v>165</v>
      </c>
      <c r="E424" s="19"/>
      <c r="F424" s="14"/>
      <c r="G424" s="15">
        <f>G425+G426+G428+G430+G427+G429+G431</f>
        <v>1730.8999999999999</v>
      </c>
      <c r="H424" s="15">
        <f>H425+H426+H428+H430+H427+H429+H431</f>
        <v>1740</v>
      </c>
      <c r="I424" s="105">
        <f>I425+I426+I428+I430+I427+I429+I431</f>
        <v>1740</v>
      </c>
      <c r="J424" s="46"/>
      <c r="K424" s="107"/>
    </row>
    <row r="425" spans="1:11" s="3" customFormat="1" ht="15.75">
      <c r="A425" s="65" t="s">
        <v>180</v>
      </c>
      <c r="B425" s="19" t="s">
        <v>33</v>
      </c>
      <c r="C425" s="19" t="s">
        <v>6</v>
      </c>
      <c r="D425" s="19" t="s">
        <v>165</v>
      </c>
      <c r="E425" s="19" t="s">
        <v>81</v>
      </c>
      <c r="F425" s="14"/>
      <c r="G425" s="15">
        <v>1272</v>
      </c>
      <c r="H425" s="15">
        <v>1300</v>
      </c>
      <c r="I425" s="105">
        <v>1300</v>
      </c>
      <c r="J425" s="46"/>
      <c r="K425" s="107"/>
    </row>
    <row r="426" spans="1:11" s="3" customFormat="1" ht="47.25" hidden="1">
      <c r="A426" s="65" t="s">
        <v>78</v>
      </c>
      <c r="B426" s="19" t="s">
        <v>33</v>
      </c>
      <c r="C426" s="19" t="s">
        <v>6</v>
      </c>
      <c r="D426" s="19" t="s">
        <v>165</v>
      </c>
      <c r="E426" s="19" t="s">
        <v>62</v>
      </c>
      <c r="F426" s="14"/>
      <c r="G426" s="15"/>
      <c r="H426" s="15"/>
      <c r="I426" s="105"/>
      <c r="J426" s="46"/>
      <c r="K426" s="107"/>
    </row>
    <row r="427" spans="1:11" s="3" customFormat="1" ht="63">
      <c r="A427" s="39" t="s">
        <v>181</v>
      </c>
      <c r="B427" s="19" t="s">
        <v>33</v>
      </c>
      <c r="C427" s="19" t="s">
        <v>6</v>
      </c>
      <c r="D427" s="19" t="s">
        <v>165</v>
      </c>
      <c r="E427" s="19" t="s">
        <v>143</v>
      </c>
      <c r="F427" s="14"/>
      <c r="G427" s="15">
        <f>384.1-2.8-0.001-0.002</f>
        <v>381.297</v>
      </c>
      <c r="H427" s="15">
        <v>400</v>
      </c>
      <c r="I427" s="105">
        <v>400</v>
      </c>
      <c r="J427" s="46"/>
      <c r="K427" s="107"/>
    </row>
    <row r="428" spans="1:11" s="3" customFormat="1" ht="47.25">
      <c r="A428" s="65" t="s">
        <v>71</v>
      </c>
      <c r="B428" s="19" t="s">
        <v>33</v>
      </c>
      <c r="C428" s="19" t="s">
        <v>6</v>
      </c>
      <c r="D428" s="19" t="s">
        <v>165</v>
      </c>
      <c r="E428" s="54" t="s">
        <v>70</v>
      </c>
      <c r="F428" s="14"/>
      <c r="G428" s="15">
        <f>41.8+2.8+20-2+15</f>
        <v>77.6</v>
      </c>
      <c r="H428" s="15">
        <v>40</v>
      </c>
      <c r="I428" s="105">
        <v>40</v>
      </c>
      <c r="J428" s="46"/>
      <c r="K428" s="107"/>
    </row>
    <row r="429" spans="1:11" s="3" customFormat="1" ht="47.25" hidden="1">
      <c r="A429" s="76" t="s">
        <v>98</v>
      </c>
      <c r="B429" s="19" t="s">
        <v>33</v>
      </c>
      <c r="C429" s="19" t="s">
        <v>6</v>
      </c>
      <c r="D429" s="19" t="s">
        <v>165</v>
      </c>
      <c r="E429" s="54" t="s">
        <v>96</v>
      </c>
      <c r="F429" s="14"/>
      <c r="G429" s="15"/>
      <c r="H429" s="15"/>
      <c r="I429" s="105"/>
      <c r="J429" s="46"/>
      <c r="K429" s="107"/>
    </row>
    <row r="430" spans="1:11" s="3" customFormat="1" ht="31.5" hidden="1">
      <c r="A430" s="76" t="s">
        <v>79</v>
      </c>
      <c r="B430" s="19" t="s">
        <v>33</v>
      </c>
      <c r="C430" s="19" t="s">
        <v>6</v>
      </c>
      <c r="D430" s="19" t="s">
        <v>165</v>
      </c>
      <c r="E430" s="54" t="s">
        <v>82</v>
      </c>
      <c r="F430" s="14"/>
      <c r="G430" s="15"/>
      <c r="H430" s="15"/>
      <c r="I430" s="105"/>
      <c r="J430" s="46"/>
      <c r="K430" s="107"/>
    </row>
    <row r="431" spans="1:11" s="3" customFormat="1" ht="15.75">
      <c r="A431" s="76" t="s">
        <v>203</v>
      </c>
      <c r="B431" s="19" t="s">
        <v>33</v>
      </c>
      <c r="C431" s="19" t="s">
        <v>6</v>
      </c>
      <c r="D431" s="19" t="s">
        <v>165</v>
      </c>
      <c r="E431" s="54" t="s">
        <v>201</v>
      </c>
      <c r="F431" s="14"/>
      <c r="G431" s="15">
        <f>0.001+0.002</f>
        <v>0.003</v>
      </c>
      <c r="H431" s="15"/>
      <c r="I431" s="105"/>
      <c r="J431" s="46"/>
      <c r="K431" s="107"/>
    </row>
    <row r="432" spans="1:11" s="3" customFormat="1" ht="31.5">
      <c r="A432" s="65" t="s">
        <v>73</v>
      </c>
      <c r="B432" s="24" t="s">
        <v>33</v>
      </c>
      <c r="C432" s="24" t="s">
        <v>6</v>
      </c>
      <c r="D432" s="24" t="s">
        <v>115</v>
      </c>
      <c r="E432" s="19"/>
      <c r="F432" s="14"/>
      <c r="G432" s="15">
        <f>G433</f>
        <v>1300</v>
      </c>
      <c r="H432" s="15">
        <f>H433</f>
        <v>0</v>
      </c>
      <c r="I432" s="105">
        <f>I433</f>
        <v>0</v>
      </c>
      <c r="J432" s="46"/>
      <c r="K432" s="107"/>
    </row>
    <row r="433" spans="1:11" s="3" customFormat="1" ht="110.25">
      <c r="A433" s="40" t="s">
        <v>190</v>
      </c>
      <c r="B433" s="19" t="s">
        <v>33</v>
      </c>
      <c r="C433" s="19" t="s">
        <v>6</v>
      </c>
      <c r="D433" s="19" t="s">
        <v>189</v>
      </c>
      <c r="E433" s="19"/>
      <c r="F433" s="14"/>
      <c r="G433" s="15">
        <f>G434+G435</f>
        <v>1300</v>
      </c>
      <c r="H433" s="15">
        <f>H435</f>
        <v>0</v>
      </c>
      <c r="I433" s="105">
        <f>I435</f>
        <v>0</v>
      </c>
      <c r="J433" s="46"/>
      <c r="K433" s="107"/>
    </row>
    <row r="434" spans="1:11" s="3" customFormat="1" ht="47.25">
      <c r="A434" s="40" t="s">
        <v>71</v>
      </c>
      <c r="B434" s="19" t="s">
        <v>33</v>
      </c>
      <c r="C434" s="19" t="s">
        <v>6</v>
      </c>
      <c r="D434" s="19" t="s">
        <v>189</v>
      </c>
      <c r="E434" s="19" t="s">
        <v>70</v>
      </c>
      <c r="F434" s="14"/>
      <c r="G434" s="15">
        <v>500</v>
      </c>
      <c r="H434" s="15"/>
      <c r="I434" s="105"/>
      <c r="J434" s="46"/>
      <c r="K434" s="107"/>
    </row>
    <row r="435" spans="1:11" s="3" customFormat="1" ht="47.25">
      <c r="A435" s="32" t="s">
        <v>71</v>
      </c>
      <c r="B435" s="19" t="s">
        <v>33</v>
      </c>
      <c r="C435" s="19" t="s">
        <v>6</v>
      </c>
      <c r="D435" s="19" t="s">
        <v>189</v>
      </c>
      <c r="E435" s="19" t="s">
        <v>60</v>
      </c>
      <c r="F435" s="14"/>
      <c r="G435" s="15">
        <v>800</v>
      </c>
      <c r="H435" s="15"/>
      <c r="I435" s="105"/>
      <c r="J435" s="46"/>
      <c r="K435" s="107"/>
    </row>
    <row r="436" spans="1:11" s="56" customFormat="1" ht="15.75">
      <c r="A436" s="34" t="s">
        <v>38</v>
      </c>
      <c r="B436" s="9" t="s">
        <v>37</v>
      </c>
      <c r="C436" s="9"/>
      <c r="D436" s="9"/>
      <c r="E436" s="9"/>
      <c r="F436" s="11" t="e">
        <f>F441+F455+#REF!</f>
        <v>#REF!</v>
      </c>
      <c r="G436" s="12">
        <f>G437+G441+G455+G463</f>
        <v>30392.278000000002</v>
      </c>
      <c r="H436" s="12">
        <f>H437+H441+H455+H463</f>
        <v>32676.5</v>
      </c>
      <c r="I436" s="100">
        <f>I437+I441+I455+I463</f>
        <v>32895.2</v>
      </c>
      <c r="J436" s="108"/>
      <c r="K436" s="107"/>
    </row>
    <row r="437" spans="1:11" s="56" customFormat="1" ht="15.75">
      <c r="A437" s="42" t="s">
        <v>49</v>
      </c>
      <c r="B437" s="13" t="s">
        <v>37</v>
      </c>
      <c r="C437" s="13" t="s">
        <v>6</v>
      </c>
      <c r="D437" s="13"/>
      <c r="E437" s="13"/>
      <c r="F437" s="11" t="e">
        <f>F440+#REF!+#REF!+#REF!+#REF!+#REF!</f>
        <v>#REF!</v>
      </c>
      <c r="G437" s="12">
        <f aca="true" t="shared" si="22" ref="G437:I439">G438</f>
        <v>1085</v>
      </c>
      <c r="H437" s="12">
        <f t="shared" si="22"/>
        <v>1000</v>
      </c>
      <c r="I437" s="100">
        <f t="shared" si="22"/>
        <v>1000</v>
      </c>
      <c r="J437" s="108"/>
      <c r="K437" s="107"/>
    </row>
    <row r="438" spans="1:11" s="56" customFormat="1" ht="31.5">
      <c r="A438" s="65" t="s">
        <v>73</v>
      </c>
      <c r="B438" s="24" t="s">
        <v>37</v>
      </c>
      <c r="C438" s="24" t="s">
        <v>6</v>
      </c>
      <c r="D438" s="24" t="s">
        <v>115</v>
      </c>
      <c r="E438" s="24"/>
      <c r="F438" s="11"/>
      <c r="G438" s="26">
        <f t="shared" si="22"/>
        <v>1085</v>
      </c>
      <c r="H438" s="26">
        <f t="shared" si="22"/>
        <v>1000</v>
      </c>
      <c r="I438" s="102">
        <f t="shared" si="22"/>
        <v>1000</v>
      </c>
      <c r="J438" s="108"/>
      <c r="K438" s="107"/>
    </row>
    <row r="439" spans="1:11" s="3" customFormat="1" ht="47.25">
      <c r="A439" s="51" t="s">
        <v>48</v>
      </c>
      <c r="B439" s="24" t="s">
        <v>37</v>
      </c>
      <c r="C439" s="24" t="s">
        <v>6</v>
      </c>
      <c r="D439" s="10" t="s">
        <v>166</v>
      </c>
      <c r="E439" s="10"/>
      <c r="F439" s="14">
        <f>F440</f>
        <v>3536</v>
      </c>
      <c r="G439" s="15">
        <f t="shared" si="22"/>
        <v>1085</v>
      </c>
      <c r="H439" s="15">
        <f t="shared" si="22"/>
        <v>1000</v>
      </c>
      <c r="I439" s="105">
        <f t="shared" si="22"/>
        <v>1000</v>
      </c>
      <c r="J439" s="46"/>
      <c r="K439" s="107"/>
    </row>
    <row r="440" spans="1:11" s="3" customFormat="1" ht="31.5">
      <c r="A440" s="50" t="s">
        <v>89</v>
      </c>
      <c r="B440" s="24" t="s">
        <v>37</v>
      </c>
      <c r="C440" s="24" t="s">
        <v>6</v>
      </c>
      <c r="D440" s="10" t="s">
        <v>166</v>
      </c>
      <c r="E440" s="10" t="s">
        <v>90</v>
      </c>
      <c r="F440" s="14">
        <v>3536</v>
      </c>
      <c r="G440" s="15">
        <v>1085</v>
      </c>
      <c r="H440" s="15">
        <v>1000</v>
      </c>
      <c r="I440" s="105">
        <v>1000</v>
      </c>
      <c r="J440" s="46"/>
      <c r="K440" s="107"/>
    </row>
    <row r="441" spans="1:11" s="56" customFormat="1" ht="15.75">
      <c r="A441" s="37" t="s">
        <v>39</v>
      </c>
      <c r="B441" s="13" t="s">
        <v>37</v>
      </c>
      <c r="C441" s="13" t="s">
        <v>9</v>
      </c>
      <c r="D441" s="13"/>
      <c r="E441" s="13"/>
      <c r="F441" s="11" t="e">
        <f>#REF!+#REF!+#REF!+#REF!+#REF!+#REF!</f>
        <v>#REF!</v>
      </c>
      <c r="G441" s="12">
        <f>G442</f>
        <v>19848.2</v>
      </c>
      <c r="H441" s="12">
        <f>H442</f>
        <v>21875.2</v>
      </c>
      <c r="I441" s="100">
        <f>I442</f>
        <v>21875.2</v>
      </c>
      <c r="J441" s="108"/>
      <c r="K441" s="107"/>
    </row>
    <row r="442" spans="1:11" s="3" customFormat="1" ht="31.5">
      <c r="A442" s="65" t="s">
        <v>73</v>
      </c>
      <c r="B442" s="24" t="s">
        <v>37</v>
      </c>
      <c r="C442" s="24" t="s">
        <v>9</v>
      </c>
      <c r="D442" s="24" t="s">
        <v>115</v>
      </c>
      <c r="E442" s="24"/>
      <c r="F442" s="14"/>
      <c r="G442" s="15">
        <f>G445+G447+G443+G453</f>
        <v>19848.2</v>
      </c>
      <c r="H442" s="15">
        <f>H445+H447+H443+H453</f>
        <v>21875.2</v>
      </c>
      <c r="I442" s="105">
        <f>I445+I447+I443+I453</f>
        <v>21875.2</v>
      </c>
      <c r="J442" s="46"/>
      <c r="K442" s="107"/>
    </row>
    <row r="443" spans="1:11" s="56" customFormat="1" ht="110.25">
      <c r="A443" s="50" t="s">
        <v>269</v>
      </c>
      <c r="B443" s="23" t="s">
        <v>37</v>
      </c>
      <c r="C443" s="23" t="s">
        <v>9</v>
      </c>
      <c r="D443" s="23" t="s">
        <v>167</v>
      </c>
      <c r="E443" s="23"/>
      <c r="F443" s="28"/>
      <c r="G443" s="26">
        <f>G444</f>
        <v>2450.178</v>
      </c>
      <c r="H443" s="26">
        <f>H444</f>
        <v>2715.1</v>
      </c>
      <c r="I443" s="102">
        <f>I444</f>
        <v>2715.1</v>
      </c>
      <c r="J443" s="108"/>
      <c r="K443" s="107"/>
    </row>
    <row r="444" spans="1:11" s="56" customFormat="1" ht="47.25">
      <c r="A444" s="67" t="s">
        <v>91</v>
      </c>
      <c r="B444" s="23" t="s">
        <v>37</v>
      </c>
      <c r="C444" s="23" t="s">
        <v>9</v>
      </c>
      <c r="D444" s="23" t="s">
        <v>167</v>
      </c>
      <c r="E444" s="23" t="s">
        <v>92</v>
      </c>
      <c r="F444" s="28"/>
      <c r="G444" s="26">
        <f>2715.1-264.922</f>
        <v>2450.178</v>
      </c>
      <c r="H444" s="26">
        <v>2715.1</v>
      </c>
      <c r="I444" s="102">
        <v>2715.1</v>
      </c>
      <c r="J444" s="108"/>
      <c r="K444" s="107"/>
    </row>
    <row r="445" spans="1:11" s="3" customFormat="1" ht="141.75">
      <c r="A445" s="51" t="s">
        <v>270</v>
      </c>
      <c r="B445" s="24" t="s">
        <v>37</v>
      </c>
      <c r="C445" s="24" t="s">
        <v>9</v>
      </c>
      <c r="D445" s="24" t="s">
        <v>168</v>
      </c>
      <c r="E445" s="24"/>
      <c r="F445" s="14">
        <f>F446</f>
        <v>3536</v>
      </c>
      <c r="G445" s="15">
        <f>G446</f>
        <v>424.9</v>
      </c>
      <c r="H445" s="15">
        <f>H446</f>
        <v>424.9</v>
      </c>
      <c r="I445" s="105">
        <f>I446</f>
        <v>424.9</v>
      </c>
      <c r="J445" s="46"/>
      <c r="K445" s="107"/>
    </row>
    <row r="446" spans="1:11" s="3" customFormat="1" ht="47.25">
      <c r="A446" s="51" t="s">
        <v>91</v>
      </c>
      <c r="B446" s="24" t="s">
        <v>37</v>
      </c>
      <c r="C446" s="24" t="s">
        <v>9</v>
      </c>
      <c r="D446" s="24" t="s">
        <v>168</v>
      </c>
      <c r="E446" s="24" t="s">
        <v>92</v>
      </c>
      <c r="F446" s="14">
        <v>3536</v>
      </c>
      <c r="G446" s="15">
        <v>424.9</v>
      </c>
      <c r="H446" s="15">
        <v>424.9</v>
      </c>
      <c r="I446" s="105">
        <v>424.9</v>
      </c>
      <c r="J446" s="46"/>
      <c r="K446" s="107"/>
    </row>
    <row r="447" spans="1:11" s="3" customFormat="1" ht="37.5" customHeight="1">
      <c r="A447" s="51" t="s">
        <v>271</v>
      </c>
      <c r="B447" s="24" t="s">
        <v>37</v>
      </c>
      <c r="C447" s="24" t="s">
        <v>9</v>
      </c>
      <c r="D447" s="24" t="s">
        <v>169</v>
      </c>
      <c r="E447" s="24"/>
      <c r="F447" s="14"/>
      <c r="G447" s="15">
        <f>G452+G451+G449+G448+G450</f>
        <v>16973.122</v>
      </c>
      <c r="H447" s="15">
        <f>H452+H451+H449+H448+H450</f>
        <v>18735.2</v>
      </c>
      <c r="I447" s="105">
        <f>I452+I451+I449+I448+I450</f>
        <v>18735.2</v>
      </c>
      <c r="J447" s="46"/>
      <c r="K447" s="107"/>
    </row>
    <row r="448" spans="1:11" s="3" customFormat="1" ht="31.5" hidden="1">
      <c r="A448" s="40" t="s">
        <v>139</v>
      </c>
      <c r="B448" s="24" t="s">
        <v>37</v>
      </c>
      <c r="C448" s="24" t="s">
        <v>9</v>
      </c>
      <c r="D448" s="24" t="s">
        <v>169</v>
      </c>
      <c r="E448" s="24" t="s">
        <v>65</v>
      </c>
      <c r="F448" s="14"/>
      <c r="G448" s="26"/>
      <c r="H448" s="15"/>
      <c r="I448" s="105"/>
      <c r="J448" s="46"/>
      <c r="K448" s="107"/>
    </row>
    <row r="449" spans="1:11" s="3" customFormat="1" ht="48.75" customHeight="1" hidden="1">
      <c r="A449" s="40" t="s">
        <v>67</v>
      </c>
      <c r="B449" s="24" t="s">
        <v>37</v>
      </c>
      <c r="C449" s="24" t="s">
        <v>9</v>
      </c>
      <c r="D449" s="24" t="s">
        <v>169</v>
      </c>
      <c r="E449" s="24" t="s">
        <v>69</v>
      </c>
      <c r="F449" s="14"/>
      <c r="G449" s="26"/>
      <c r="H449" s="15"/>
      <c r="I449" s="105"/>
      <c r="J449" s="46"/>
      <c r="K449" s="107"/>
    </row>
    <row r="450" spans="1:11" s="3" customFormat="1" ht="48.75" customHeight="1" hidden="1">
      <c r="A450" s="40" t="s">
        <v>141</v>
      </c>
      <c r="B450" s="24" t="s">
        <v>37</v>
      </c>
      <c r="C450" s="24" t="s">
        <v>9</v>
      </c>
      <c r="D450" s="24" t="s">
        <v>169</v>
      </c>
      <c r="E450" s="24" t="s">
        <v>140</v>
      </c>
      <c r="F450" s="14"/>
      <c r="G450" s="26"/>
      <c r="H450" s="15"/>
      <c r="I450" s="105"/>
      <c r="J450" s="46"/>
      <c r="K450" s="107"/>
    </row>
    <row r="451" spans="1:11" s="3" customFormat="1" ht="48.75" customHeight="1">
      <c r="A451" s="32" t="s">
        <v>71</v>
      </c>
      <c r="B451" s="24" t="s">
        <v>37</v>
      </c>
      <c r="C451" s="24" t="s">
        <v>9</v>
      </c>
      <c r="D451" s="24" t="s">
        <v>169</v>
      </c>
      <c r="E451" s="24" t="s">
        <v>70</v>
      </c>
      <c r="F451" s="14"/>
      <c r="G451" s="26">
        <v>252</v>
      </c>
      <c r="H451" s="15">
        <v>281</v>
      </c>
      <c r="I451" s="105">
        <v>281</v>
      </c>
      <c r="J451" s="46"/>
      <c r="K451" s="107"/>
    </row>
    <row r="452" spans="1:11" s="3" customFormat="1" ht="47.25">
      <c r="A452" s="51" t="s">
        <v>91</v>
      </c>
      <c r="B452" s="24" t="s">
        <v>37</v>
      </c>
      <c r="C452" s="24" t="s">
        <v>9</v>
      </c>
      <c r="D452" s="24" t="s">
        <v>169</v>
      </c>
      <c r="E452" s="24" t="s">
        <v>92</v>
      </c>
      <c r="F452" s="14"/>
      <c r="G452" s="26">
        <f>16534+187.122</f>
        <v>16721.122</v>
      </c>
      <c r="H452" s="26">
        <v>18454.2</v>
      </c>
      <c r="I452" s="102">
        <v>18454.2</v>
      </c>
      <c r="J452" s="46"/>
      <c r="K452" s="107"/>
    </row>
    <row r="453" spans="1:11" s="3" customFormat="1" ht="31.5" hidden="1">
      <c r="A453" s="61" t="s">
        <v>170</v>
      </c>
      <c r="B453" s="24" t="s">
        <v>37</v>
      </c>
      <c r="C453" s="24" t="s">
        <v>9</v>
      </c>
      <c r="D453" s="24" t="s">
        <v>171</v>
      </c>
      <c r="E453" s="24"/>
      <c r="F453" s="14"/>
      <c r="G453" s="15">
        <f>G454</f>
        <v>0</v>
      </c>
      <c r="H453" s="15">
        <f>H454</f>
        <v>0</v>
      </c>
      <c r="I453" s="105">
        <f>I454</f>
        <v>0</v>
      </c>
      <c r="J453" s="46"/>
      <c r="K453" s="107"/>
    </row>
    <row r="454" spans="1:11" s="3" customFormat="1" ht="47.25" hidden="1">
      <c r="A454" s="61" t="s">
        <v>98</v>
      </c>
      <c r="B454" s="24" t="s">
        <v>37</v>
      </c>
      <c r="C454" s="24" t="s">
        <v>9</v>
      </c>
      <c r="D454" s="24" t="s">
        <v>171</v>
      </c>
      <c r="E454" s="24" t="s">
        <v>96</v>
      </c>
      <c r="F454" s="14"/>
      <c r="G454" s="15"/>
      <c r="H454" s="15"/>
      <c r="I454" s="105"/>
      <c r="J454" s="46"/>
      <c r="K454" s="107"/>
    </row>
    <row r="455" spans="1:11" s="3" customFormat="1" ht="15.75">
      <c r="A455" s="34" t="s">
        <v>44</v>
      </c>
      <c r="B455" s="9" t="s">
        <v>37</v>
      </c>
      <c r="C455" s="9" t="s">
        <v>11</v>
      </c>
      <c r="D455" s="9"/>
      <c r="E455" s="9"/>
      <c r="F455" s="11" t="e">
        <f>F457+#REF!</f>
        <v>#REF!</v>
      </c>
      <c r="G455" s="12">
        <f>G456</f>
        <v>7993.2</v>
      </c>
      <c r="H455" s="12">
        <f>H456</f>
        <v>8188.3</v>
      </c>
      <c r="I455" s="100">
        <f>I456</f>
        <v>8407</v>
      </c>
      <c r="J455" s="46"/>
      <c r="K455" s="107"/>
    </row>
    <row r="456" spans="1:11" s="3" customFormat="1" ht="31.5">
      <c r="A456" s="32" t="s">
        <v>73</v>
      </c>
      <c r="B456" s="19" t="s">
        <v>37</v>
      </c>
      <c r="C456" s="19" t="s">
        <v>11</v>
      </c>
      <c r="D456" s="19" t="s">
        <v>115</v>
      </c>
      <c r="E456" s="19"/>
      <c r="F456" s="14"/>
      <c r="G456" s="15">
        <f>G459+G461+G457</f>
        <v>7993.2</v>
      </c>
      <c r="H456" s="15">
        <f>H459+H461+H457</f>
        <v>8188.3</v>
      </c>
      <c r="I456" s="105">
        <f>I459+I461+I457</f>
        <v>8407</v>
      </c>
      <c r="J456" s="46"/>
      <c r="K456" s="107"/>
    </row>
    <row r="457" spans="1:11" s="3" customFormat="1" ht="110.25">
      <c r="A457" s="50" t="s">
        <v>272</v>
      </c>
      <c r="B457" s="19" t="s">
        <v>37</v>
      </c>
      <c r="C457" s="19" t="s">
        <v>11</v>
      </c>
      <c r="D457" s="19" t="s">
        <v>172</v>
      </c>
      <c r="E457" s="19"/>
      <c r="F457" s="14">
        <f>F458</f>
        <v>2455</v>
      </c>
      <c r="G457" s="15">
        <f>G458</f>
        <v>878.2</v>
      </c>
      <c r="H457" s="15">
        <f>H458</f>
        <v>878.2</v>
      </c>
      <c r="I457" s="105">
        <f>I458</f>
        <v>878.2</v>
      </c>
      <c r="J457" s="46"/>
      <c r="K457" s="107"/>
    </row>
    <row r="458" spans="1:11" s="3" customFormat="1" ht="47.25">
      <c r="A458" s="67" t="s">
        <v>91</v>
      </c>
      <c r="B458" s="19" t="s">
        <v>37</v>
      </c>
      <c r="C458" s="19" t="s">
        <v>11</v>
      </c>
      <c r="D458" s="19" t="s">
        <v>172</v>
      </c>
      <c r="E458" s="19" t="s">
        <v>92</v>
      </c>
      <c r="F458" s="14">
        <v>2455</v>
      </c>
      <c r="G458" s="15">
        <v>878.2</v>
      </c>
      <c r="H458" s="15">
        <v>878.2</v>
      </c>
      <c r="I458" s="105">
        <v>878.2</v>
      </c>
      <c r="J458" s="46"/>
      <c r="K458" s="107"/>
    </row>
    <row r="459" spans="1:11" s="3" customFormat="1" ht="31.5">
      <c r="A459" s="50" t="s">
        <v>273</v>
      </c>
      <c r="B459" s="19" t="s">
        <v>37</v>
      </c>
      <c r="C459" s="19" t="s">
        <v>11</v>
      </c>
      <c r="D459" s="19" t="s">
        <v>173</v>
      </c>
      <c r="E459" s="19"/>
      <c r="F459" s="14" t="e">
        <f>#REF!</f>
        <v>#REF!</v>
      </c>
      <c r="G459" s="15">
        <f>G460</f>
        <v>5181.9</v>
      </c>
      <c r="H459" s="15">
        <f>H460</f>
        <v>5373.7</v>
      </c>
      <c r="I459" s="105">
        <f>I460</f>
        <v>5588.6</v>
      </c>
      <c r="J459" s="46"/>
      <c r="K459" s="107"/>
    </row>
    <row r="460" spans="1:11" s="3" customFormat="1" ht="47.25">
      <c r="A460" s="67" t="s">
        <v>91</v>
      </c>
      <c r="B460" s="19" t="s">
        <v>37</v>
      </c>
      <c r="C460" s="19" t="s">
        <v>11</v>
      </c>
      <c r="D460" s="19" t="s">
        <v>173</v>
      </c>
      <c r="E460" s="19" t="s">
        <v>92</v>
      </c>
      <c r="F460" s="14"/>
      <c r="G460" s="15">
        <v>5181.9</v>
      </c>
      <c r="H460" s="15">
        <v>5373.7</v>
      </c>
      <c r="I460" s="105">
        <v>5588.6</v>
      </c>
      <c r="J460" s="46"/>
      <c r="K460" s="107"/>
    </row>
    <row r="461" spans="1:11" s="3" customFormat="1" ht="63">
      <c r="A461" s="66" t="s">
        <v>274</v>
      </c>
      <c r="B461" s="19" t="s">
        <v>37</v>
      </c>
      <c r="C461" s="19" t="s">
        <v>11</v>
      </c>
      <c r="D461" s="19" t="s">
        <v>174</v>
      </c>
      <c r="E461" s="19"/>
      <c r="F461" s="14">
        <v>2455</v>
      </c>
      <c r="G461" s="15">
        <f>G462</f>
        <v>1933.1</v>
      </c>
      <c r="H461" s="15">
        <f>H462</f>
        <v>1936.4</v>
      </c>
      <c r="I461" s="105">
        <f>I462</f>
        <v>1940.2</v>
      </c>
      <c r="J461" s="46"/>
      <c r="K461" s="107"/>
    </row>
    <row r="462" spans="1:11" s="3" customFormat="1" ht="47.25">
      <c r="A462" s="32" t="s">
        <v>213</v>
      </c>
      <c r="B462" s="19" t="s">
        <v>37</v>
      </c>
      <c r="C462" s="19" t="s">
        <v>11</v>
      </c>
      <c r="D462" s="19" t="s">
        <v>174</v>
      </c>
      <c r="E462" s="19" t="s">
        <v>214</v>
      </c>
      <c r="F462" s="14" t="e">
        <f>#REF!</f>
        <v>#REF!</v>
      </c>
      <c r="G462" s="15">
        <v>1933.1</v>
      </c>
      <c r="H462" s="15">
        <v>1936.4</v>
      </c>
      <c r="I462" s="105">
        <v>1940.2</v>
      </c>
      <c r="J462" s="46"/>
      <c r="K462" s="107"/>
    </row>
    <row r="463" spans="1:11" s="56" customFormat="1" ht="31.5">
      <c r="A463" s="42" t="s">
        <v>238</v>
      </c>
      <c r="B463" s="27" t="s">
        <v>37</v>
      </c>
      <c r="C463" s="27" t="s">
        <v>26</v>
      </c>
      <c r="D463" s="27"/>
      <c r="E463" s="27"/>
      <c r="F463" s="28"/>
      <c r="G463" s="29">
        <f>G469+G464</f>
        <v>1465.878</v>
      </c>
      <c r="H463" s="29">
        <f>H469+H464</f>
        <v>1613</v>
      </c>
      <c r="I463" s="101">
        <f>I469+I464</f>
        <v>1613</v>
      </c>
      <c r="J463" s="108"/>
      <c r="K463" s="107"/>
    </row>
    <row r="464" spans="1:11" s="56" customFormat="1" ht="78.75">
      <c r="A464" s="37" t="s">
        <v>296</v>
      </c>
      <c r="B464" s="10" t="s">
        <v>37</v>
      </c>
      <c r="C464" s="10" t="s">
        <v>26</v>
      </c>
      <c r="D464" s="19" t="s">
        <v>117</v>
      </c>
      <c r="E464" s="19"/>
      <c r="F464" s="28"/>
      <c r="G464" s="26">
        <f aca="true" t="shared" si="23" ref="G464:I467">G465</f>
        <v>40</v>
      </c>
      <c r="H464" s="26">
        <f t="shared" si="23"/>
        <v>0</v>
      </c>
      <c r="I464" s="102">
        <f t="shared" si="23"/>
        <v>0</v>
      </c>
      <c r="J464" s="108"/>
      <c r="K464" s="107"/>
    </row>
    <row r="465" spans="1:11" s="56" customFormat="1" ht="78.75">
      <c r="A465" s="38" t="s">
        <v>323</v>
      </c>
      <c r="B465" s="10" t="s">
        <v>37</v>
      </c>
      <c r="C465" s="10" t="s">
        <v>26</v>
      </c>
      <c r="D465" s="19" t="s">
        <v>320</v>
      </c>
      <c r="E465" s="19"/>
      <c r="F465" s="28"/>
      <c r="G465" s="26">
        <f t="shared" si="23"/>
        <v>40</v>
      </c>
      <c r="H465" s="26">
        <f t="shared" si="23"/>
        <v>0</v>
      </c>
      <c r="I465" s="102">
        <f t="shared" si="23"/>
        <v>0</v>
      </c>
      <c r="J465" s="108"/>
      <c r="K465" s="107"/>
    </row>
    <row r="466" spans="1:11" s="56" customFormat="1" ht="78.75">
      <c r="A466" s="38" t="s">
        <v>324</v>
      </c>
      <c r="B466" s="10" t="s">
        <v>37</v>
      </c>
      <c r="C466" s="10" t="s">
        <v>26</v>
      </c>
      <c r="D466" s="19" t="s">
        <v>321</v>
      </c>
      <c r="E466" s="19"/>
      <c r="F466" s="28"/>
      <c r="G466" s="26">
        <f t="shared" si="23"/>
        <v>40</v>
      </c>
      <c r="H466" s="26">
        <f t="shared" si="23"/>
        <v>0</v>
      </c>
      <c r="I466" s="102">
        <f t="shared" si="23"/>
        <v>0</v>
      </c>
      <c r="J466" s="108"/>
      <c r="K466" s="107"/>
    </row>
    <row r="467" spans="1:11" s="56" customFormat="1" ht="31.5">
      <c r="A467" s="93" t="s">
        <v>75</v>
      </c>
      <c r="B467" s="10" t="s">
        <v>37</v>
      </c>
      <c r="C467" s="10" t="s">
        <v>26</v>
      </c>
      <c r="D467" s="19" t="s">
        <v>322</v>
      </c>
      <c r="E467" s="19"/>
      <c r="F467" s="28"/>
      <c r="G467" s="26">
        <f t="shared" si="23"/>
        <v>40</v>
      </c>
      <c r="H467" s="26">
        <f t="shared" si="23"/>
        <v>0</v>
      </c>
      <c r="I467" s="102">
        <f t="shared" si="23"/>
        <v>0</v>
      </c>
      <c r="J467" s="108"/>
      <c r="K467" s="107"/>
    </row>
    <row r="468" spans="1:11" s="56" customFormat="1" ht="47.25">
      <c r="A468" s="32" t="s">
        <v>71</v>
      </c>
      <c r="B468" s="10" t="s">
        <v>37</v>
      </c>
      <c r="C468" s="10" t="s">
        <v>26</v>
      </c>
      <c r="D468" s="19" t="s">
        <v>322</v>
      </c>
      <c r="E468" s="19" t="s">
        <v>70</v>
      </c>
      <c r="F468" s="28"/>
      <c r="G468" s="26">
        <v>40</v>
      </c>
      <c r="H468" s="26"/>
      <c r="I468" s="102"/>
      <c r="J468" s="108"/>
      <c r="K468" s="107"/>
    </row>
    <row r="469" spans="1:11" s="3" customFormat="1" ht="31.5">
      <c r="A469" s="51" t="s">
        <v>271</v>
      </c>
      <c r="B469" s="24" t="s">
        <v>37</v>
      </c>
      <c r="C469" s="24" t="s">
        <v>9</v>
      </c>
      <c r="D469" s="24" t="s">
        <v>169</v>
      </c>
      <c r="E469" s="24"/>
      <c r="F469" s="14"/>
      <c r="G469" s="15">
        <f>G470+G471+G472+G473</f>
        <v>1425.878</v>
      </c>
      <c r="H469" s="15">
        <f>H470+H471+H472+H473</f>
        <v>1613</v>
      </c>
      <c r="I469" s="105">
        <f>I470+I471+I472+I473</f>
        <v>1613</v>
      </c>
      <c r="J469" s="46"/>
      <c r="K469" s="107"/>
    </row>
    <row r="470" spans="1:11" s="3" customFormat="1" ht="31.5">
      <c r="A470" s="40" t="s">
        <v>139</v>
      </c>
      <c r="B470" s="24" t="s">
        <v>37</v>
      </c>
      <c r="C470" s="24" t="s">
        <v>9</v>
      </c>
      <c r="D470" s="24" t="s">
        <v>169</v>
      </c>
      <c r="E470" s="24" t="s">
        <v>65</v>
      </c>
      <c r="F470" s="14"/>
      <c r="G470" s="15">
        <v>880</v>
      </c>
      <c r="H470" s="15">
        <v>880</v>
      </c>
      <c r="I470" s="105">
        <v>880</v>
      </c>
      <c r="J470" s="46"/>
      <c r="K470" s="107"/>
    </row>
    <row r="471" spans="1:11" s="3" customFormat="1" ht="45.75" customHeight="1" hidden="1">
      <c r="A471" s="40" t="s">
        <v>67</v>
      </c>
      <c r="B471" s="24" t="s">
        <v>37</v>
      </c>
      <c r="C471" s="24" t="s">
        <v>9</v>
      </c>
      <c r="D471" s="24" t="s">
        <v>169</v>
      </c>
      <c r="E471" s="24" t="s">
        <v>69</v>
      </c>
      <c r="F471" s="14"/>
      <c r="G471" s="15"/>
      <c r="H471" s="15"/>
      <c r="I471" s="105"/>
      <c r="J471" s="46"/>
      <c r="K471" s="107"/>
    </row>
    <row r="472" spans="1:11" s="3" customFormat="1" ht="63.75" customHeight="1">
      <c r="A472" s="40" t="s">
        <v>141</v>
      </c>
      <c r="B472" s="24" t="s">
        <v>37</v>
      </c>
      <c r="C472" s="24" t="s">
        <v>9</v>
      </c>
      <c r="D472" s="24" t="s">
        <v>169</v>
      </c>
      <c r="E472" s="24" t="s">
        <v>140</v>
      </c>
      <c r="F472" s="14"/>
      <c r="G472" s="15">
        <v>266</v>
      </c>
      <c r="H472" s="15">
        <v>266</v>
      </c>
      <c r="I472" s="105">
        <v>266</v>
      </c>
      <c r="J472" s="46"/>
      <c r="K472" s="107"/>
    </row>
    <row r="473" spans="1:11" s="3" customFormat="1" ht="47.25">
      <c r="A473" s="32" t="s">
        <v>71</v>
      </c>
      <c r="B473" s="24" t="s">
        <v>37</v>
      </c>
      <c r="C473" s="24" t="s">
        <v>26</v>
      </c>
      <c r="D473" s="24" t="s">
        <v>169</v>
      </c>
      <c r="E473" s="24" t="s">
        <v>70</v>
      </c>
      <c r="F473" s="14"/>
      <c r="G473" s="15">
        <f>467-187.122</f>
        <v>279.878</v>
      </c>
      <c r="H473" s="15">
        <v>467</v>
      </c>
      <c r="I473" s="105">
        <v>467</v>
      </c>
      <c r="J473" s="46"/>
      <c r="K473" s="107"/>
    </row>
    <row r="474" spans="1:11" s="56" customFormat="1" ht="15.75">
      <c r="A474" s="37" t="s">
        <v>36</v>
      </c>
      <c r="B474" s="13" t="s">
        <v>13</v>
      </c>
      <c r="C474" s="13"/>
      <c r="D474" s="13"/>
      <c r="E474" s="13"/>
      <c r="F474" s="11" t="e">
        <f>F475+#REF!+#REF!</f>
        <v>#REF!</v>
      </c>
      <c r="G474" s="12">
        <f aca="true" t="shared" si="24" ref="G474:I476">G475</f>
        <v>222</v>
      </c>
      <c r="H474" s="12">
        <f t="shared" si="24"/>
        <v>250</v>
      </c>
      <c r="I474" s="100">
        <f t="shared" si="24"/>
        <v>0</v>
      </c>
      <c r="J474" s="108"/>
      <c r="K474" s="107"/>
    </row>
    <row r="475" spans="1:11" s="56" customFormat="1" ht="19.5" customHeight="1">
      <c r="A475" s="37" t="s">
        <v>36</v>
      </c>
      <c r="B475" s="13" t="s">
        <v>13</v>
      </c>
      <c r="C475" s="13" t="s">
        <v>6</v>
      </c>
      <c r="D475" s="13"/>
      <c r="E475" s="13"/>
      <c r="F475" s="11" t="e">
        <f>F476+#REF!</f>
        <v>#REF!</v>
      </c>
      <c r="G475" s="12">
        <f>G476+G482</f>
        <v>222</v>
      </c>
      <c r="H475" s="12">
        <f t="shared" si="24"/>
        <v>250</v>
      </c>
      <c r="I475" s="100">
        <f t="shared" si="24"/>
        <v>0</v>
      </c>
      <c r="J475" s="108"/>
      <c r="K475" s="107"/>
    </row>
    <row r="476" spans="1:11" s="3" customFormat="1" ht="47.25">
      <c r="A476" s="81" t="s">
        <v>276</v>
      </c>
      <c r="B476" s="19" t="s">
        <v>13</v>
      </c>
      <c r="C476" s="19" t="s">
        <v>6</v>
      </c>
      <c r="D476" s="19" t="s">
        <v>175</v>
      </c>
      <c r="E476" s="19"/>
      <c r="F476" s="14" t="e">
        <f>#REF!</f>
        <v>#REF!</v>
      </c>
      <c r="G476" s="15">
        <f t="shared" si="24"/>
        <v>50</v>
      </c>
      <c r="H476" s="15">
        <f t="shared" si="24"/>
        <v>250</v>
      </c>
      <c r="I476" s="105">
        <f t="shared" si="24"/>
        <v>0</v>
      </c>
      <c r="J476" s="46"/>
      <c r="K476" s="107"/>
    </row>
    <row r="477" spans="1:11" s="3" customFormat="1" ht="31.5">
      <c r="A477" s="62" t="s">
        <v>93</v>
      </c>
      <c r="B477" s="19" t="s">
        <v>13</v>
      </c>
      <c r="C477" s="19" t="s">
        <v>6</v>
      </c>
      <c r="D477" s="19" t="s">
        <v>176</v>
      </c>
      <c r="E477" s="19"/>
      <c r="F477" s="14" t="e">
        <f>#REF!</f>
        <v>#REF!</v>
      </c>
      <c r="G477" s="15">
        <f>G480+G478+G481+G479</f>
        <v>50</v>
      </c>
      <c r="H477" s="15">
        <f>H480+H478+H481+H479</f>
        <v>250</v>
      </c>
      <c r="I477" s="105">
        <f>I480+I478+I481+I479</f>
        <v>0</v>
      </c>
      <c r="J477" s="46"/>
      <c r="K477" s="107"/>
    </row>
    <row r="478" spans="1:11" s="3" customFormat="1" ht="63">
      <c r="A478" s="40" t="s">
        <v>206</v>
      </c>
      <c r="B478" s="19" t="s">
        <v>13</v>
      </c>
      <c r="C478" s="19" t="s">
        <v>6</v>
      </c>
      <c r="D478" s="19" t="s">
        <v>176</v>
      </c>
      <c r="E478" s="19" t="s">
        <v>205</v>
      </c>
      <c r="F478" s="14"/>
      <c r="G478" s="15">
        <f>100-100</f>
        <v>0</v>
      </c>
      <c r="H478" s="15">
        <v>100</v>
      </c>
      <c r="I478" s="105"/>
      <c r="J478" s="46"/>
      <c r="K478" s="107"/>
    </row>
    <row r="479" spans="1:11" s="3" customFormat="1" ht="51.75" customHeight="1" hidden="1">
      <c r="A479" s="40" t="s">
        <v>67</v>
      </c>
      <c r="B479" s="19" t="s">
        <v>13</v>
      </c>
      <c r="C479" s="19" t="s">
        <v>6</v>
      </c>
      <c r="D479" s="19" t="s">
        <v>176</v>
      </c>
      <c r="E479" s="19" t="s">
        <v>69</v>
      </c>
      <c r="F479" s="14"/>
      <c r="G479" s="15"/>
      <c r="H479" s="15"/>
      <c r="I479" s="105"/>
      <c r="J479" s="46"/>
      <c r="K479" s="107"/>
    </row>
    <row r="480" spans="1:11" s="3" customFormat="1" ht="47.25">
      <c r="A480" s="65" t="s">
        <v>71</v>
      </c>
      <c r="B480" s="19" t="s">
        <v>13</v>
      </c>
      <c r="C480" s="19" t="s">
        <v>6</v>
      </c>
      <c r="D480" s="19" t="s">
        <v>176</v>
      </c>
      <c r="E480" s="19" t="s">
        <v>70</v>
      </c>
      <c r="F480" s="14" t="e">
        <f>#REF!</f>
        <v>#REF!</v>
      </c>
      <c r="G480" s="15">
        <f>100-100</f>
        <v>0</v>
      </c>
      <c r="H480" s="15">
        <v>100</v>
      </c>
      <c r="I480" s="105"/>
      <c r="J480" s="46"/>
      <c r="K480" s="107"/>
    </row>
    <row r="481" spans="1:11" s="3" customFormat="1" ht="15.75">
      <c r="A481" s="76" t="s">
        <v>217</v>
      </c>
      <c r="B481" s="19" t="s">
        <v>13</v>
      </c>
      <c r="C481" s="19" t="s">
        <v>6</v>
      </c>
      <c r="D481" s="19" t="s">
        <v>176</v>
      </c>
      <c r="E481" s="10" t="s">
        <v>216</v>
      </c>
      <c r="F481" s="14"/>
      <c r="G481" s="15">
        <v>50</v>
      </c>
      <c r="H481" s="15">
        <v>50</v>
      </c>
      <c r="I481" s="105"/>
      <c r="J481" s="46"/>
      <c r="K481" s="107"/>
    </row>
    <row r="482" spans="1:11" s="3" customFormat="1" ht="31.5">
      <c r="A482" s="76" t="s">
        <v>73</v>
      </c>
      <c r="B482" s="10" t="s">
        <v>13</v>
      </c>
      <c r="C482" s="10" t="s">
        <v>6</v>
      </c>
      <c r="D482" s="10" t="s">
        <v>115</v>
      </c>
      <c r="E482" s="10"/>
      <c r="F482" s="14"/>
      <c r="G482" s="15">
        <f>G483</f>
        <v>172</v>
      </c>
      <c r="H482" s="15"/>
      <c r="I482" s="105"/>
      <c r="J482" s="46"/>
      <c r="K482" s="107"/>
    </row>
    <row r="483" spans="1:11" s="3" customFormat="1" ht="110.25">
      <c r="A483" s="76" t="s">
        <v>190</v>
      </c>
      <c r="B483" s="10" t="s">
        <v>13</v>
      </c>
      <c r="C483" s="10" t="s">
        <v>6</v>
      </c>
      <c r="D483" s="10" t="s">
        <v>189</v>
      </c>
      <c r="E483" s="10"/>
      <c r="F483" s="14"/>
      <c r="G483" s="15">
        <f>G484</f>
        <v>172</v>
      </c>
      <c r="H483" s="15"/>
      <c r="I483" s="105"/>
      <c r="J483" s="46"/>
      <c r="K483" s="107"/>
    </row>
    <row r="484" spans="1:11" s="3" customFormat="1" ht="47.25">
      <c r="A484" s="76" t="s">
        <v>71</v>
      </c>
      <c r="B484" s="10" t="s">
        <v>13</v>
      </c>
      <c r="C484" s="10" t="s">
        <v>6</v>
      </c>
      <c r="D484" s="10" t="s">
        <v>189</v>
      </c>
      <c r="E484" s="10" t="s">
        <v>70</v>
      </c>
      <c r="F484" s="14"/>
      <c r="G484" s="15">
        <v>172</v>
      </c>
      <c r="H484" s="15"/>
      <c r="I484" s="105"/>
      <c r="J484" s="46"/>
      <c r="K484" s="107"/>
    </row>
    <row r="485" spans="1:11" s="56" customFormat="1" ht="15.75">
      <c r="A485" s="42" t="s">
        <v>54</v>
      </c>
      <c r="B485" s="27" t="s">
        <v>16</v>
      </c>
      <c r="C485" s="27"/>
      <c r="D485" s="27"/>
      <c r="E485" s="27"/>
      <c r="F485" s="28"/>
      <c r="G485" s="29">
        <f aca="true" t="shared" si="25" ref="G485:I488">G486</f>
        <v>1258.578</v>
      </c>
      <c r="H485" s="29">
        <f t="shared" si="25"/>
        <v>1598.7</v>
      </c>
      <c r="I485" s="101">
        <f t="shared" si="25"/>
        <v>1598.7</v>
      </c>
      <c r="J485" s="108"/>
      <c r="K485" s="107"/>
    </row>
    <row r="486" spans="1:11" s="3" customFormat="1" ht="15.75">
      <c r="A486" s="42" t="s">
        <v>35</v>
      </c>
      <c r="B486" s="27" t="s">
        <v>16</v>
      </c>
      <c r="C486" s="27" t="s">
        <v>7</v>
      </c>
      <c r="D486" s="27"/>
      <c r="E486" s="27"/>
      <c r="F486" s="28"/>
      <c r="G486" s="29">
        <f t="shared" si="25"/>
        <v>1258.578</v>
      </c>
      <c r="H486" s="29">
        <f t="shared" si="25"/>
        <v>1598.7</v>
      </c>
      <c r="I486" s="101">
        <f t="shared" si="25"/>
        <v>1598.7</v>
      </c>
      <c r="J486" s="46"/>
      <c r="K486" s="107"/>
    </row>
    <row r="487" spans="1:11" s="57" customFormat="1" ht="31.5">
      <c r="A487" s="65" t="s">
        <v>73</v>
      </c>
      <c r="B487" s="19" t="s">
        <v>16</v>
      </c>
      <c r="C487" s="19" t="s">
        <v>7</v>
      </c>
      <c r="D487" s="19" t="s">
        <v>115</v>
      </c>
      <c r="E487" s="19"/>
      <c r="F487" s="25"/>
      <c r="G487" s="26">
        <f>G488+G490</f>
        <v>1258.578</v>
      </c>
      <c r="H487" s="26">
        <f>H488+H490</f>
        <v>1598.7</v>
      </c>
      <c r="I487" s="102">
        <f>I488+I490</f>
        <v>1598.7</v>
      </c>
      <c r="J487" s="110"/>
      <c r="K487" s="107"/>
    </row>
    <row r="488" spans="1:11" s="3" customFormat="1" ht="31.5">
      <c r="A488" s="67" t="s">
        <v>187</v>
      </c>
      <c r="B488" s="19" t="s">
        <v>16</v>
      </c>
      <c r="C488" s="19" t="s">
        <v>7</v>
      </c>
      <c r="D488" s="19" t="s">
        <v>188</v>
      </c>
      <c r="E488" s="19"/>
      <c r="F488" s="14"/>
      <c r="G488" s="15">
        <f t="shared" si="25"/>
        <v>277.112</v>
      </c>
      <c r="H488" s="15">
        <f t="shared" si="25"/>
        <v>300</v>
      </c>
      <c r="I488" s="105">
        <f t="shared" si="25"/>
        <v>300</v>
      </c>
      <c r="J488" s="46"/>
      <c r="K488" s="107"/>
    </row>
    <row r="489" spans="1:11" s="3" customFormat="1" ht="63">
      <c r="A489" s="50" t="s">
        <v>58</v>
      </c>
      <c r="B489" s="19" t="s">
        <v>16</v>
      </c>
      <c r="C489" s="19" t="s">
        <v>7</v>
      </c>
      <c r="D489" s="19" t="s">
        <v>188</v>
      </c>
      <c r="E489" s="19" t="s">
        <v>31</v>
      </c>
      <c r="F489" s="14">
        <v>375</v>
      </c>
      <c r="G489" s="15">
        <f>300-22.888</f>
        <v>277.112</v>
      </c>
      <c r="H489" s="15">
        <v>300</v>
      </c>
      <c r="I489" s="105">
        <v>300</v>
      </c>
      <c r="J489" s="46"/>
      <c r="K489" s="107"/>
    </row>
    <row r="490" spans="1:11" s="3" customFormat="1" ht="174.75" customHeight="1">
      <c r="A490" s="65" t="s">
        <v>275</v>
      </c>
      <c r="B490" s="19" t="s">
        <v>16</v>
      </c>
      <c r="C490" s="19" t="s">
        <v>7</v>
      </c>
      <c r="D490" s="19" t="s">
        <v>301</v>
      </c>
      <c r="E490" s="19"/>
      <c r="F490" s="14"/>
      <c r="G490" s="15">
        <f>G491</f>
        <v>981.466</v>
      </c>
      <c r="H490" s="15">
        <f>H491</f>
        <v>1298.7</v>
      </c>
      <c r="I490" s="105">
        <f>I491</f>
        <v>1298.7</v>
      </c>
      <c r="J490" s="46"/>
      <c r="K490" s="107"/>
    </row>
    <row r="491" spans="1:11" s="3" customFormat="1" ht="63">
      <c r="A491" s="50" t="s">
        <v>58</v>
      </c>
      <c r="B491" s="19" t="s">
        <v>16</v>
      </c>
      <c r="C491" s="19" t="s">
        <v>7</v>
      </c>
      <c r="D491" s="19" t="s">
        <v>301</v>
      </c>
      <c r="E491" s="19" t="s">
        <v>31</v>
      </c>
      <c r="F491" s="14"/>
      <c r="G491" s="15">
        <v>981.466</v>
      </c>
      <c r="H491" s="15">
        <v>1298.7</v>
      </c>
      <c r="I491" s="105">
        <v>1298.7</v>
      </c>
      <c r="J491" s="46"/>
      <c r="K491" s="107"/>
    </row>
    <row r="492" spans="1:11" s="56" customFormat="1" ht="31.5" hidden="1">
      <c r="A492" s="41" t="s">
        <v>12</v>
      </c>
      <c r="B492" s="30" t="s">
        <v>52</v>
      </c>
      <c r="C492" s="30"/>
      <c r="D492" s="30"/>
      <c r="E492" s="30"/>
      <c r="F492" s="28"/>
      <c r="G492" s="29">
        <f>G493</f>
        <v>0</v>
      </c>
      <c r="H492" s="29">
        <f>H493</f>
        <v>0</v>
      </c>
      <c r="I492" s="101">
        <f>I493</f>
        <v>0</v>
      </c>
      <c r="J492" s="108"/>
      <c r="K492" s="107"/>
    </row>
    <row r="493" spans="1:11" s="53" customFormat="1" ht="30.75" customHeight="1" hidden="1">
      <c r="A493" s="41" t="s">
        <v>198</v>
      </c>
      <c r="B493" s="9" t="s">
        <v>52</v>
      </c>
      <c r="C493" s="9" t="s">
        <v>6</v>
      </c>
      <c r="D493" s="9"/>
      <c r="E493" s="9"/>
      <c r="F493" s="11">
        <f>F495</f>
        <v>841.9</v>
      </c>
      <c r="G493" s="12">
        <f>G495</f>
        <v>0</v>
      </c>
      <c r="H493" s="12">
        <f>H495</f>
        <v>0</v>
      </c>
      <c r="I493" s="100">
        <f>I495</f>
        <v>0</v>
      </c>
      <c r="J493" s="109"/>
      <c r="K493" s="107"/>
    </row>
    <row r="494" spans="1:11" s="57" customFormat="1" ht="30.75" customHeight="1" hidden="1">
      <c r="A494" s="45" t="s">
        <v>73</v>
      </c>
      <c r="B494" s="23" t="s">
        <v>52</v>
      </c>
      <c r="C494" s="23" t="s">
        <v>6</v>
      </c>
      <c r="D494" s="23" t="s">
        <v>115</v>
      </c>
      <c r="E494" s="23"/>
      <c r="F494" s="25"/>
      <c r="G494" s="26">
        <f>G495</f>
        <v>0</v>
      </c>
      <c r="H494" s="26"/>
      <c r="I494" s="102"/>
      <c r="J494" s="110"/>
      <c r="K494" s="107"/>
    </row>
    <row r="495" spans="1:11" s="53" customFormat="1" ht="30.75" customHeight="1" hidden="1">
      <c r="A495" s="32" t="s">
        <v>14</v>
      </c>
      <c r="B495" s="19" t="s">
        <v>52</v>
      </c>
      <c r="C495" s="19" t="s">
        <v>6</v>
      </c>
      <c r="D495" s="19" t="s">
        <v>195</v>
      </c>
      <c r="E495" s="19"/>
      <c r="F495" s="14">
        <f>F496</f>
        <v>841.9</v>
      </c>
      <c r="G495" s="15">
        <f>G496</f>
        <v>0</v>
      </c>
      <c r="H495" s="15">
        <f>H496</f>
        <v>0</v>
      </c>
      <c r="I495" s="105">
        <f>I496</f>
        <v>0</v>
      </c>
      <c r="J495" s="109"/>
      <c r="K495" s="107"/>
    </row>
    <row r="496" spans="1:11" s="53" customFormat="1" ht="15" customHeight="1" hidden="1">
      <c r="A496" s="52" t="s">
        <v>196</v>
      </c>
      <c r="B496" s="19" t="s">
        <v>52</v>
      </c>
      <c r="C496" s="19" t="s">
        <v>6</v>
      </c>
      <c r="D496" s="19" t="s">
        <v>195</v>
      </c>
      <c r="E496" s="19" t="s">
        <v>197</v>
      </c>
      <c r="F496" s="14">
        <f>887-45.1</f>
        <v>841.9</v>
      </c>
      <c r="G496" s="15">
        <f>171-171</f>
        <v>0</v>
      </c>
      <c r="H496" s="15"/>
      <c r="I496" s="105"/>
      <c r="J496" s="109"/>
      <c r="K496" s="107"/>
    </row>
    <row r="497" spans="1:11" s="3" customFormat="1" ht="15.75">
      <c r="A497" s="38"/>
      <c r="B497" s="10"/>
      <c r="C497" s="10"/>
      <c r="D497" s="10"/>
      <c r="E497" s="10"/>
      <c r="F497" s="14"/>
      <c r="G497" s="15"/>
      <c r="H497" s="15"/>
      <c r="I497" s="105"/>
      <c r="J497" s="46"/>
      <c r="K497" s="107"/>
    </row>
    <row r="498" spans="1:11" s="3" customFormat="1" ht="15.75">
      <c r="A498" s="34" t="s">
        <v>40</v>
      </c>
      <c r="B498" s="22"/>
      <c r="C498" s="22"/>
      <c r="D498" s="22"/>
      <c r="E498" s="22"/>
      <c r="F498" s="11" t="e">
        <f>F474+F436+#REF!+F391+F234+#REF!+F194+#REF!+#REF!+F12</f>
        <v>#REF!</v>
      </c>
      <c r="G498" s="12">
        <f>G12+G160+G167+G194+G234+G391+G436+G474+G485+G492</f>
        <v>331633.16</v>
      </c>
      <c r="H498" s="12">
        <f>H12+H160+H167+H194+H234+H391+H436+H474+H485+H492</f>
        <v>281442.408</v>
      </c>
      <c r="I498" s="12">
        <f>I12+I160+I167+I194+I234+I391+I436+I474+I485+I492</f>
        <v>285770.00800000003</v>
      </c>
      <c r="J498" s="114"/>
      <c r="K498" s="107"/>
    </row>
    <row r="499" spans="1:11" s="3" customFormat="1" ht="15.75">
      <c r="A499" s="43"/>
      <c r="B499" s="46"/>
      <c r="C499" s="46"/>
      <c r="D499" s="46"/>
      <c r="E499" s="46"/>
      <c r="F499" s="46"/>
      <c r="G499" s="46"/>
      <c r="J499" s="107"/>
      <c r="K499" s="46"/>
    </row>
    <row r="500" spans="1:11" s="3" customFormat="1" ht="15.75">
      <c r="A500" s="35"/>
      <c r="G500" s="31"/>
      <c r="H500" s="58"/>
      <c r="I500" s="58"/>
      <c r="J500" s="46"/>
      <c r="K500" s="107"/>
    </row>
    <row r="501" spans="1:11" s="3" customFormat="1" ht="15.75">
      <c r="A501" s="35"/>
      <c r="J501" s="46"/>
      <c r="K501" s="46"/>
    </row>
    <row r="502" spans="1:11" s="3" customFormat="1" ht="15.75">
      <c r="A502" s="35"/>
      <c r="E502" s="133"/>
      <c r="F502" s="133"/>
      <c r="G502" s="122"/>
      <c r="J502" s="46"/>
      <c r="K502" s="46"/>
    </row>
    <row r="503" spans="10:11" ht="15">
      <c r="J503" s="111"/>
      <c r="K503" s="111"/>
    </row>
    <row r="504" spans="10:11" ht="15">
      <c r="J504" s="111"/>
      <c r="K504" s="111"/>
    </row>
  </sheetData>
  <sheetProtection/>
  <mergeCells count="7">
    <mergeCell ref="A1:I1"/>
    <mergeCell ref="E2:G2"/>
    <mergeCell ref="A3:G3"/>
    <mergeCell ref="E502:F502"/>
    <mergeCell ref="A7:F7"/>
    <mergeCell ref="B4:G4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80" r:id="rId1"/>
  <headerFooter alignWithMargins="0">
    <oddFooter>&amp;CСтраница &amp;P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2020-04-22T07:37:05Z</cp:lastPrinted>
  <dcterms:created xsi:type="dcterms:W3CDTF">2007-09-03T07:30:33Z</dcterms:created>
  <dcterms:modified xsi:type="dcterms:W3CDTF">2020-09-24T10:09:59Z</dcterms:modified>
  <cp:category/>
  <cp:version/>
  <cp:contentType/>
  <cp:contentStatus/>
</cp:coreProperties>
</file>